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showObjects="none"/>
  <mc:AlternateContent xmlns:mc="http://schemas.openxmlformats.org/markup-compatibility/2006">
    <mc:Choice Requires="x15">
      <x15ac:absPath xmlns:x15ac="http://schemas.microsoft.com/office/spreadsheetml/2010/11/ac" url="C:\Users\User\Documents\GitHub\Robot Viar\IRU\PPC\"/>
    </mc:Choice>
  </mc:AlternateContent>
  <xr:revisionPtr revIDLastSave="0" documentId="13_ncr:1_{28150B24-1A63-42B0-9F72-26FD9906BC0A}" xr6:coauthVersionLast="47" xr6:coauthVersionMax="47" xr10:uidLastSave="{00000000-0000-0000-0000-000000000000}"/>
  <bookViews>
    <workbookView xWindow="-120" yWindow="-120" windowWidth="20730" windowHeight="11160" tabRatio="829" firstSheet="23" activeTab="23" xr2:uid="{00000000-000D-0000-FFFF-FFFF00000000}"/>
  </bookViews>
  <sheets>
    <sheet name="PEDIDO NICO" sheetId="64" state="hidden" r:id="rId1"/>
    <sheet name="RESUMEN" sheetId="61" r:id="rId2"/>
    <sheet name="PROM COMBUSTIBLE" sheetId="62" r:id="rId3"/>
    <sheet name="$ x KM ARROYITO" sheetId="63" r:id="rId4"/>
    <sheet name="AC121PI_VIAR" sheetId="11" r:id="rId5"/>
    <sheet name="AC121PJ_VIAR" sheetId="12" r:id="rId6"/>
    <sheet name="AC121PK_VIAR" sheetId="13" r:id="rId7"/>
    <sheet name="AD414GY_VIAR" sheetId="16" r:id="rId8"/>
    <sheet name="AD414GZ_VIAR" sheetId="17" r:id="rId9"/>
    <sheet name="AD533SA_VIAR" sheetId="18" r:id="rId10"/>
    <sheet name="FWT827_VIAR" sheetId="21" r:id="rId11"/>
    <sheet name="HWF024_VIAR" sheetId="25" r:id="rId12"/>
    <sheet name="HWF026_VIAR" sheetId="26" r:id="rId13"/>
    <sheet name="JRY934_VIAR" sheetId="30" r:id="rId14"/>
    <sheet name="JZP219_VIAR" sheetId="31" r:id="rId15"/>
    <sheet name="KMU56_VIAR" sheetId="34" r:id="rId16"/>
    <sheet name="KOL760_VIAR" sheetId="38" r:id="rId17"/>
    <sheet name="KWO766_VIAR" sheetId="43" r:id="rId18"/>
    <sheet name="LUY734_VIAR" sheetId="44" r:id="rId19"/>
    <sheet name="MAV483_VIAR" sheetId="45" r:id="rId20"/>
    <sheet name="MMN838_VIAR" sheetId="47" r:id="rId21"/>
    <sheet name="ORO021_VIAR" sheetId="50" r:id="rId22"/>
    <sheet name="OXJ862_VIAR" sheetId="51" r:id="rId23"/>
    <sheet name="KHL103_ARDILES" sheetId="33" r:id="rId24"/>
    <sheet name="KSS334_CUGNO E" sheetId="42" r:id="rId25"/>
    <sheet name="KNA501_CUGNO G" sheetId="35" r:id="rId26"/>
    <sheet name="HPJ126_CUGNO G" sheetId="22" r:id="rId27"/>
    <sheet name="MMN880_CUGNO M" sheetId="48" r:id="rId28"/>
    <sheet name="JJA110_GENTA" sheetId="29" r:id="rId29"/>
    <sheet name="AA702TE_GIACONE" sheetId="4" r:id="rId30"/>
    <sheet name="AB595CA_GUAL" sheetId="7" r:id="rId31"/>
    <sheet name="KOE220_BALDASSARRE" sheetId="37" r:id="rId32"/>
    <sheet name="KSL959_BALDASSARRE" sheetId="40" r:id="rId33"/>
    <sheet name="AA996WC_CASTILLO" sheetId="5" r:id="rId34"/>
    <sheet name="AD864HO_FERREYRA" sheetId="19" r:id="rId35"/>
    <sheet name="AC377BI_GODOY" sheetId="15" r:id="rId36"/>
    <sheet name="AA612XR_ITATI" sheetId="3" r:id="rId37"/>
    <sheet name="HVE658_ITATI" sheetId="23" r:id="rId38"/>
    <sheet name="KNQ676_ITATI" sheetId="36" r:id="rId39"/>
    <sheet name="OMA273_LOPEZ" sheetId="49" r:id="rId40"/>
    <sheet name="KGF058_REYERO" sheetId="32" r:id="rId41"/>
    <sheet name="AE502ET_S.Y.L" sheetId="20" r:id="rId42"/>
    <sheet name="MBP526_S.Y.L" sheetId="46" r:id="rId43"/>
    <sheet name="AB206GS_S.Y.L" sheetId="6" r:id="rId44"/>
    <sheet name="AA327US_TAMES" sheetId="2" r:id="rId45"/>
    <sheet name="AB631DS_TRANSP M Y H" sheetId="8" r:id="rId46"/>
    <sheet name="HVW275_DE LA RUBIA" sheetId="24" r:id="rId47"/>
    <sheet name="HZG214_DE LA RUBIA" sheetId="27" r:id="rId48"/>
    <sheet name="IIJ763_POPULIN" sheetId="28" r:id="rId49"/>
    <sheet name="AB687SH_TURCHETTI" sheetId="9" r:id="rId50"/>
    <sheet name="AC136AZ_TURCHETTI" sheetId="14" r:id="rId51"/>
    <sheet name="UNIDADES SIN USO" sheetId="52" r:id="rId52"/>
    <sheet name="SEGURO" sheetId="1" r:id="rId53"/>
    <sheet name="PATENTE MUNICIPAL" sheetId="53" r:id="rId54"/>
    <sheet name="PATENTE PROVINCIAL" sheetId="54" r:id="rId55"/>
    <sheet name="AC121PH_VIAR" sheetId="10" r:id="rId56"/>
    <sheet name="df0" sheetId="65" r:id="rId57"/>
    <sheet name="COMBUSTIBLE" sheetId="55" r:id="rId58"/>
    <sheet name="SUELDOS" sheetId="56" r:id="rId59"/>
    <sheet name="$ x KM Cargadores" sheetId="57" r:id="rId60"/>
    <sheet name="GASTOS" sheetId="58" r:id="rId61"/>
    <sheet name="GASTOS TRACTOR" sheetId="59" r:id="rId62"/>
    <sheet name="GASTOS SEMI" sheetId="60" r:id="rId63"/>
  </sheets>
  <externalReferences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</externalReferences>
  <definedNames>
    <definedName name="_xlnm._FilterDatabase" localSheetId="57" hidden="1">COMBUSTIBLE!$A$3:$K$218</definedName>
    <definedName name="_xlnm._FilterDatabase" localSheetId="60" hidden="1">GASTOS!$A$3:$M$660</definedName>
    <definedName name="_xlnm._FilterDatabase" localSheetId="53" hidden="1">'PATENTE MUNICIPAL'!$A$4:$I$4</definedName>
    <definedName name="_xlnm._FilterDatabase" localSheetId="54" hidden="1">'PATENTE PROVINCIAL'!$A$4:$N$4</definedName>
    <definedName name="_xlnm._FilterDatabase" localSheetId="52" hidden="1">SEGURO!$A$4:$K$4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0" l="1"/>
  <c r="V4" i="65"/>
  <c r="U4" i="65"/>
  <c r="D19" i="10"/>
  <c r="T4" i="65"/>
  <c r="S4" i="65"/>
  <c r="C19" i="10"/>
  <c r="B32" i="10" l="1"/>
  <c r="B24" i="10" l="1"/>
  <c r="J206" i="55"/>
  <c r="B30" i="10" l="1"/>
  <c r="A22" i="26" l="1"/>
  <c r="N4" i="65"/>
  <c r="M4" i="65"/>
  <c r="L4" i="65"/>
  <c r="K4" i="65"/>
  <c r="F4" i="65"/>
  <c r="E4" i="65"/>
  <c r="D4" i="65"/>
  <c r="D15" i="45"/>
  <c r="R4" i="65" l="1"/>
  <c r="D17" i="26"/>
  <c r="D15" i="26"/>
  <c r="D13" i="26"/>
  <c r="D7" i="25"/>
  <c r="D5" i="25"/>
  <c r="O4" i="25" s="1"/>
  <c r="R22" i="12"/>
  <c r="R20" i="12"/>
  <c r="R18" i="12"/>
  <c r="R16" i="12"/>
  <c r="R14" i="12"/>
  <c r="R12" i="12"/>
  <c r="R10" i="12"/>
  <c r="R7" i="12"/>
  <c r="R5" i="12"/>
  <c r="R14" i="10" l="1"/>
  <c r="R12" i="10"/>
  <c r="R10" i="10"/>
  <c r="R8" i="10"/>
  <c r="R6" i="10"/>
  <c r="L46" i="64" l="1"/>
  <c r="K46" i="64"/>
  <c r="L45" i="64"/>
  <c r="K45" i="64"/>
  <c r="L44" i="64"/>
  <c r="K44" i="64"/>
  <c r="L43" i="64"/>
  <c r="K43" i="64"/>
  <c r="L42" i="64"/>
  <c r="K42" i="64"/>
  <c r="L41" i="64"/>
  <c r="K41" i="64"/>
  <c r="L40" i="64"/>
  <c r="K40" i="64"/>
  <c r="L39" i="64"/>
  <c r="K39" i="64"/>
  <c r="L38" i="64"/>
  <c r="K38" i="64"/>
  <c r="L32" i="64"/>
  <c r="K32" i="64"/>
  <c r="L31" i="64"/>
  <c r="K31" i="64"/>
  <c r="L30" i="64"/>
  <c r="K30" i="64"/>
  <c r="L29" i="64"/>
  <c r="K29" i="64"/>
  <c r="L28" i="64"/>
  <c r="K28" i="64"/>
  <c r="L27" i="64"/>
  <c r="K27" i="64"/>
  <c r="L26" i="64"/>
  <c r="K26" i="64"/>
  <c r="L25" i="64"/>
  <c r="K25" i="64"/>
  <c r="L24" i="64"/>
  <c r="K24" i="64"/>
  <c r="J22" i="63"/>
  <c r="C22" i="63"/>
  <c r="I23" i="63"/>
  <c r="J23" i="63" s="1"/>
  <c r="J21" i="63"/>
  <c r="N26" i="62"/>
  <c r="M26" i="62"/>
  <c r="K25" i="62"/>
  <c r="J25" i="62"/>
  <c r="I25" i="62"/>
  <c r="H25" i="62"/>
  <c r="G25" i="62"/>
  <c r="F25" i="62"/>
  <c r="E25" i="62"/>
  <c r="D25" i="62"/>
  <c r="C25" i="62"/>
  <c r="K24" i="62"/>
  <c r="J24" i="62"/>
  <c r="I24" i="62"/>
  <c r="H24" i="62"/>
  <c r="G24" i="62"/>
  <c r="F24" i="62"/>
  <c r="E24" i="62"/>
  <c r="D24" i="62"/>
  <c r="C24" i="62"/>
  <c r="K23" i="62"/>
  <c r="J23" i="62"/>
  <c r="I23" i="62"/>
  <c r="H23" i="62"/>
  <c r="G23" i="62"/>
  <c r="F23" i="62"/>
  <c r="E23" i="62"/>
  <c r="D23" i="62"/>
  <c r="C23" i="62"/>
  <c r="K22" i="62"/>
  <c r="J22" i="62"/>
  <c r="I22" i="62"/>
  <c r="H22" i="62"/>
  <c r="G22" i="62"/>
  <c r="F22" i="62"/>
  <c r="E22" i="62"/>
  <c r="D22" i="62"/>
  <c r="C22" i="62"/>
  <c r="K21" i="62"/>
  <c r="J21" i="62"/>
  <c r="I21" i="62"/>
  <c r="H21" i="62"/>
  <c r="G21" i="62"/>
  <c r="F21" i="62"/>
  <c r="E21" i="62"/>
  <c r="D21" i="62"/>
  <c r="C21" i="62"/>
  <c r="K20" i="62"/>
  <c r="I20" i="62"/>
  <c r="H20" i="62"/>
  <c r="G20" i="62"/>
  <c r="F20" i="62"/>
  <c r="E20" i="62"/>
  <c r="D20" i="62"/>
  <c r="C20" i="62"/>
  <c r="K19" i="62"/>
  <c r="J19" i="62"/>
  <c r="I19" i="62"/>
  <c r="H19" i="62"/>
  <c r="G19" i="62"/>
  <c r="F19" i="62"/>
  <c r="E19" i="62"/>
  <c r="D19" i="62"/>
  <c r="C19" i="62"/>
  <c r="J18" i="62"/>
  <c r="I18" i="62"/>
  <c r="H18" i="62"/>
  <c r="G18" i="62"/>
  <c r="F18" i="62"/>
  <c r="E18" i="62"/>
  <c r="D18" i="62"/>
  <c r="K17" i="62"/>
  <c r="J17" i="62"/>
  <c r="I17" i="62"/>
  <c r="H17" i="62"/>
  <c r="G17" i="62"/>
  <c r="F17" i="62"/>
  <c r="E17" i="62"/>
  <c r="D17" i="62"/>
  <c r="C17" i="62"/>
  <c r="K16" i="62"/>
  <c r="J16" i="62"/>
  <c r="I16" i="62"/>
  <c r="H16" i="62"/>
  <c r="G16" i="62"/>
  <c r="F16" i="62"/>
  <c r="E16" i="62"/>
  <c r="D16" i="62"/>
  <c r="C16" i="62"/>
  <c r="K15" i="62"/>
  <c r="J15" i="62"/>
  <c r="I15" i="62"/>
  <c r="H15" i="62"/>
  <c r="G15" i="62"/>
  <c r="F15" i="62"/>
  <c r="E15" i="62"/>
  <c r="D15" i="62"/>
  <c r="C15" i="62"/>
  <c r="K14" i="62"/>
  <c r="J14" i="62"/>
  <c r="I14" i="62"/>
  <c r="H14" i="62"/>
  <c r="G14" i="62"/>
  <c r="F14" i="62"/>
  <c r="E14" i="62"/>
  <c r="D14" i="62"/>
  <c r="C14" i="62"/>
  <c r="K13" i="62"/>
  <c r="J13" i="62"/>
  <c r="I13" i="62"/>
  <c r="H13" i="62"/>
  <c r="G13" i="62"/>
  <c r="F13" i="62"/>
  <c r="E13" i="62"/>
  <c r="D13" i="62"/>
  <c r="C13" i="62"/>
  <c r="K12" i="62"/>
  <c r="J12" i="62"/>
  <c r="I12" i="62"/>
  <c r="H12" i="62"/>
  <c r="G12" i="62"/>
  <c r="F12" i="62"/>
  <c r="E12" i="62"/>
  <c r="D12" i="62"/>
  <c r="C12" i="62"/>
  <c r="K11" i="62"/>
  <c r="J11" i="62"/>
  <c r="I11" i="62"/>
  <c r="H11" i="62"/>
  <c r="G11" i="62"/>
  <c r="F11" i="62"/>
  <c r="E11" i="62"/>
  <c r="D11" i="62"/>
  <c r="C11" i="62"/>
  <c r="K10" i="62"/>
  <c r="J10" i="62"/>
  <c r="I10" i="62"/>
  <c r="H10" i="62"/>
  <c r="G10" i="62"/>
  <c r="F10" i="62"/>
  <c r="E10" i="62"/>
  <c r="D10" i="62"/>
  <c r="C10" i="62"/>
  <c r="K9" i="62"/>
  <c r="J9" i="62"/>
  <c r="I9" i="62"/>
  <c r="H9" i="62"/>
  <c r="G9" i="62"/>
  <c r="F9" i="62"/>
  <c r="E9" i="62"/>
  <c r="D9" i="62"/>
  <c r="C9" i="62"/>
  <c r="K8" i="62"/>
  <c r="J8" i="62"/>
  <c r="I8" i="62"/>
  <c r="H8" i="62"/>
  <c r="G8" i="62"/>
  <c r="F8" i="62"/>
  <c r="E8" i="62"/>
  <c r="D8" i="62"/>
  <c r="C8" i="62"/>
  <c r="K7" i="62"/>
  <c r="J7" i="62"/>
  <c r="I7" i="62"/>
  <c r="G7" i="62"/>
  <c r="F7" i="62"/>
  <c r="E7" i="62"/>
  <c r="D7" i="62"/>
  <c r="C7" i="62"/>
  <c r="K6" i="62"/>
  <c r="J6" i="62"/>
  <c r="I6" i="62"/>
  <c r="H6" i="62"/>
  <c r="G6" i="62"/>
  <c r="F6" i="62"/>
  <c r="E6" i="62"/>
  <c r="D6" i="62"/>
  <c r="C6" i="62"/>
  <c r="K5" i="62"/>
  <c r="J5" i="62"/>
  <c r="I5" i="62"/>
  <c r="H5" i="62"/>
  <c r="G5" i="62"/>
  <c r="F5" i="62"/>
  <c r="E5" i="62"/>
  <c r="D5" i="62"/>
  <c r="C5" i="62"/>
  <c r="D26" i="62" l="1"/>
  <c r="M24" i="64"/>
  <c r="M26" i="64"/>
  <c r="M38" i="64"/>
  <c r="M40" i="64"/>
  <c r="E26" i="62"/>
  <c r="H26" i="62"/>
  <c r="F26" i="62"/>
  <c r="G26" i="62"/>
  <c r="O18" i="62"/>
  <c r="I26" i="62"/>
  <c r="J26" i="62"/>
  <c r="K26" i="62"/>
  <c r="M44" i="64"/>
  <c r="M32" i="64"/>
  <c r="M39" i="64"/>
  <c r="M43" i="64"/>
  <c r="M41" i="64"/>
  <c r="M27" i="64"/>
  <c r="M28" i="64"/>
  <c r="M29" i="64"/>
  <c r="M42" i="64"/>
  <c r="M30" i="64"/>
  <c r="M45" i="64"/>
  <c r="M31" i="64"/>
  <c r="M46" i="64"/>
  <c r="M25" i="64"/>
  <c r="C26" i="62"/>
  <c r="Q9" i="28" l="1"/>
  <c r="O9" i="28"/>
  <c r="P9" i="28" s="1"/>
  <c r="AW83" i="61" l="1"/>
  <c r="AW82" i="61"/>
  <c r="AW76" i="61"/>
  <c r="AW74" i="61"/>
  <c r="AW73" i="61"/>
  <c r="AW50" i="61"/>
  <c r="AP144" i="61"/>
  <c r="AL144" i="61"/>
  <c r="AH144" i="61"/>
  <c r="AD144" i="61"/>
  <c r="AH143" i="61"/>
  <c r="AD143" i="61"/>
  <c r="AP142" i="61"/>
  <c r="AL141" i="61"/>
  <c r="AP140" i="61"/>
  <c r="AL140" i="61"/>
  <c r="AH140" i="61"/>
  <c r="AD140" i="61"/>
  <c r="Z140" i="61"/>
  <c r="V140" i="61"/>
  <c r="N140" i="61"/>
  <c r="J140" i="61"/>
  <c r="F140" i="61"/>
  <c r="B140" i="61"/>
  <c r="AP139" i="61"/>
  <c r="AL139" i="61"/>
  <c r="AH139" i="61"/>
  <c r="AD139" i="61"/>
  <c r="Z139" i="61"/>
  <c r="V139" i="61"/>
  <c r="R139" i="61"/>
  <c r="N139" i="61"/>
  <c r="J139" i="61"/>
  <c r="F139" i="61"/>
  <c r="B139" i="61"/>
  <c r="F138" i="61"/>
  <c r="AL136" i="61"/>
  <c r="AH136" i="61"/>
  <c r="B135" i="61"/>
  <c r="AH134" i="61"/>
  <c r="AD134" i="61"/>
  <c r="Z134" i="61"/>
  <c r="V134" i="61"/>
  <c r="J133" i="61"/>
  <c r="AP132" i="61"/>
  <c r="AL132" i="61"/>
  <c r="AL129" i="61"/>
  <c r="AH129" i="61"/>
  <c r="AD129" i="61"/>
  <c r="R129" i="61"/>
  <c r="J129" i="61"/>
  <c r="AH128" i="61"/>
  <c r="AD128" i="61"/>
  <c r="Z128" i="61"/>
  <c r="V128" i="61"/>
  <c r="R128" i="61"/>
  <c r="N128" i="61"/>
  <c r="J128" i="61"/>
  <c r="F128" i="61"/>
  <c r="B128" i="61"/>
  <c r="AP127" i="61"/>
  <c r="AL127" i="61"/>
  <c r="AH127" i="61"/>
  <c r="AP125" i="61"/>
  <c r="AL125" i="61"/>
  <c r="AD125" i="61"/>
  <c r="AP123" i="61"/>
  <c r="AL123" i="61"/>
  <c r="AP122" i="61"/>
  <c r="AH121" i="61"/>
  <c r="AP119" i="61"/>
  <c r="AL119" i="61"/>
  <c r="AH119" i="61"/>
  <c r="AD119" i="61"/>
  <c r="Z119" i="61"/>
  <c r="R119" i="61"/>
  <c r="N119" i="61"/>
  <c r="B119" i="61"/>
  <c r="AP116" i="61"/>
  <c r="AL116" i="61"/>
  <c r="AH116" i="61"/>
  <c r="AD116" i="61"/>
  <c r="Z116" i="61"/>
  <c r="V116" i="61"/>
  <c r="R116" i="61"/>
  <c r="N116" i="61"/>
  <c r="J116" i="61"/>
  <c r="F116" i="61"/>
  <c r="B116" i="61"/>
  <c r="AP115" i="61"/>
  <c r="AL115" i="61"/>
  <c r="AH115" i="61"/>
  <c r="AD115" i="61"/>
  <c r="Z115" i="61"/>
  <c r="V115" i="61"/>
  <c r="R115" i="61"/>
  <c r="N115" i="61"/>
  <c r="J115" i="61"/>
  <c r="F115" i="61"/>
  <c r="B115" i="61"/>
  <c r="AP113" i="61"/>
  <c r="AL113" i="61"/>
  <c r="AH113" i="61"/>
  <c r="AD113" i="61"/>
  <c r="Z113" i="61"/>
  <c r="V113" i="61"/>
  <c r="R113" i="61"/>
  <c r="N113" i="61"/>
  <c r="J113" i="61"/>
  <c r="F113" i="61"/>
  <c r="B113" i="61"/>
  <c r="V111" i="61"/>
  <c r="R111" i="61"/>
  <c r="AL110" i="61"/>
  <c r="AH110" i="61"/>
  <c r="AD110" i="61"/>
  <c r="AH109" i="61"/>
  <c r="AD109" i="61"/>
  <c r="Z108" i="61"/>
  <c r="V108" i="61"/>
  <c r="AP107" i="61"/>
  <c r="AD107" i="61"/>
  <c r="Z107" i="61"/>
  <c r="V107" i="61"/>
  <c r="R107" i="61"/>
  <c r="N107" i="61"/>
  <c r="J107" i="61"/>
  <c r="F107" i="61"/>
  <c r="B107" i="61"/>
  <c r="AP106" i="61"/>
  <c r="Z106" i="61"/>
  <c r="V106" i="61"/>
  <c r="R106" i="61"/>
  <c r="N106" i="61"/>
  <c r="F106" i="61"/>
  <c r="AL105" i="61"/>
  <c r="AH105" i="61"/>
  <c r="AD105" i="61"/>
  <c r="Z105" i="61"/>
  <c r="V105" i="61"/>
  <c r="R105" i="61"/>
  <c r="N105" i="61"/>
  <c r="J105" i="61"/>
  <c r="F105" i="61"/>
  <c r="B105" i="61"/>
  <c r="AP104" i="61"/>
  <c r="AL104" i="61"/>
  <c r="Z104" i="61"/>
  <c r="V104" i="61"/>
  <c r="F104" i="61"/>
  <c r="B104" i="61"/>
  <c r="AP103" i="61"/>
  <c r="AL103" i="61"/>
  <c r="AH103" i="61"/>
  <c r="AD103" i="61"/>
  <c r="Z103" i="61"/>
  <c r="V103" i="61"/>
  <c r="R103" i="61"/>
  <c r="N103" i="61"/>
  <c r="J103" i="61"/>
  <c r="F103" i="61"/>
  <c r="AP102" i="61"/>
  <c r="R102" i="61"/>
  <c r="F102" i="61"/>
  <c r="AR96" i="61"/>
  <c r="AP96" i="61"/>
  <c r="AN96" i="61"/>
  <c r="AL96" i="61"/>
  <c r="AJ96" i="61"/>
  <c r="AH96" i="61"/>
  <c r="AF96" i="61"/>
  <c r="AD96" i="61"/>
  <c r="AB96" i="61"/>
  <c r="Z96" i="61"/>
  <c r="X96" i="61"/>
  <c r="V96" i="61"/>
  <c r="T96" i="61"/>
  <c r="R96" i="61"/>
  <c r="P96" i="61"/>
  <c r="N96" i="61"/>
  <c r="L96" i="61"/>
  <c r="J96" i="61"/>
  <c r="H96" i="61"/>
  <c r="F96" i="61"/>
  <c r="D96" i="61"/>
  <c r="B96" i="61"/>
  <c r="AR95" i="61"/>
  <c r="AP95" i="61"/>
  <c r="AN95" i="61"/>
  <c r="AL95" i="61"/>
  <c r="AJ95" i="61"/>
  <c r="AH95" i="61"/>
  <c r="AF95" i="61"/>
  <c r="AD95" i="61"/>
  <c r="AB95" i="61"/>
  <c r="Z95" i="61"/>
  <c r="X95" i="61"/>
  <c r="V95" i="61"/>
  <c r="T95" i="61"/>
  <c r="R95" i="61"/>
  <c r="P95" i="61"/>
  <c r="N95" i="61"/>
  <c r="L95" i="61"/>
  <c r="J95" i="61"/>
  <c r="H95" i="61"/>
  <c r="F95" i="61"/>
  <c r="D95" i="61"/>
  <c r="B95" i="61"/>
  <c r="AR94" i="61"/>
  <c r="AP94" i="61"/>
  <c r="AN94" i="61"/>
  <c r="AL94" i="61"/>
  <c r="AJ94" i="61"/>
  <c r="AH94" i="61"/>
  <c r="AF94" i="61"/>
  <c r="AD94" i="61"/>
  <c r="AB94" i="61"/>
  <c r="Z94" i="61"/>
  <c r="X94" i="61"/>
  <c r="V94" i="61"/>
  <c r="T94" i="61"/>
  <c r="R94" i="61"/>
  <c r="P94" i="61"/>
  <c r="N94" i="61"/>
  <c r="L94" i="61"/>
  <c r="J94" i="61"/>
  <c r="H94" i="61"/>
  <c r="F94" i="61"/>
  <c r="D94" i="61"/>
  <c r="B94" i="61"/>
  <c r="AR93" i="61"/>
  <c r="AP93" i="61"/>
  <c r="AN93" i="61"/>
  <c r="AL93" i="61"/>
  <c r="AJ93" i="61"/>
  <c r="AH93" i="61"/>
  <c r="AF93" i="61"/>
  <c r="AD93" i="61"/>
  <c r="AB93" i="61"/>
  <c r="Z93" i="61"/>
  <c r="X93" i="61"/>
  <c r="V93" i="61"/>
  <c r="T93" i="61"/>
  <c r="R93" i="61"/>
  <c r="P93" i="61"/>
  <c r="N93" i="61"/>
  <c r="L93" i="61"/>
  <c r="J93" i="61"/>
  <c r="H93" i="61"/>
  <c r="F93" i="61"/>
  <c r="D93" i="61"/>
  <c r="B93" i="61"/>
  <c r="AR92" i="61"/>
  <c r="AP92" i="61"/>
  <c r="AN92" i="61"/>
  <c r="AL92" i="61"/>
  <c r="AJ92" i="61"/>
  <c r="AH92" i="61"/>
  <c r="AF92" i="61"/>
  <c r="AD92" i="61"/>
  <c r="AB92" i="61"/>
  <c r="Z92" i="61"/>
  <c r="X92" i="61"/>
  <c r="V92" i="61"/>
  <c r="T92" i="61"/>
  <c r="R92" i="61"/>
  <c r="P92" i="61"/>
  <c r="N92" i="61"/>
  <c r="L92" i="61"/>
  <c r="J92" i="61"/>
  <c r="H92" i="61"/>
  <c r="F92" i="61"/>
  <c r="D92" i="61"/>
  <c r="B92" i="61"/>
  <c r="AR86" i="61"/>
  <c r="AQ86" i="61"/>
  <c r="AN86" i="61"/>
  <c r="AM86" i="61"/>
  <c r="AJ86" i="61"/>
  <c r="AI86" i="61"/>
  <c r="AF86" i="61"/>
  <c r="AE86" i="61"/>
  <c r="AB86" i="61"/>
  <c r="AA86" i="61"/>
  <c r="X86" i="61"/>
  <c r="W86" i="61"/>
  <c r="T86" i="61"/>
  <c r="S86" i="61"/>
  <c r="P86" i="61"/>
  <c r="O86" i="61"/>
  <c r="L86" i="61"/>
  <c r="K86" i="61"/>
  <c r="H86" i="61"/>
  <c r="G86" i="61"/>
  <c r="I86" i="61" s="1"/>
  <c r="D86" i="61"/>
  <c r="C86" i="61"/>
  <c r="AR85" i="61"/>
  <c r="AQ85" i="61"/>
  <c r="AN85" i="61"/>
  <c r="AM85" i="61"/>
  <c r="AJ85" i="61"/>
  <c r="AI85" i="61"/>
  <c r="AF85" i="61"/>
  <c r="AE85" i="61"/>
  <c r="AB85" i="61"/>
  <c r="AA85" i="61"/>
  <c r="X85" i="61"/>
  <c r="W85" i="61"/>
  <c r="T85" i="61"/>
  <c r="S85" i="61"/>
  <c r="P85" i="61"/>
  <c r="O85" i="61"/>
  <c r="L85" i="61"/>
  <c r="K85" i="61"/>
  <c r="H85" i="61"/>
  <c r="G85" i="61"/>
  <c r="D85" i="61"/>
  <c r="C85" i="61"/>
  <c r="AK84" i="61"/>
  <c r="AG84" i="61"/>
  <c r="AC84" i="61"/>
  <c r="Y84" i="61"/>
  <c r="L84" i="61"/>
  <c r="K84" i="61"/>
  <c r="H84" i="61"/>
  <c r="G84" i="61"/>
  <c r="D84" i="61"/>
  <c r="C84" i="61"/>
  <c r="AS83" i="61"/>
  <c r="AO83" i="61"/>
  <c r="AK83" i="61"/>
  <c r="AG83" i="61"/>
  <c r="AB83" i="61"/>
  <c r="AA83" i="61"/>
  <c r="X83" i="61"/>
  <c r="W83" i="61"/>
  <c r="T83" i="61"/>
  <c r="S83" i="61"/>
  <c r="P83" i="61"/>
  <c r="O83" i="61"/>
  <c r="L83" i="61"/>
  <c r="K83" i="61"/>
  <c r="H83" i="61"/>
  <c r="G83" i="61"/>
  <c r="D83" i="61"/>
  <c r="C83" i="61"/>
  <c r="AS82" i="61"/>
  <c r="AO82" i="61"/>
  <c r="AK82" i="61"/>
  <c r="AG82" i="61"/>
  <c r="AC82" i="61"/>
  <c r="Y82" i="61"/>
  <c r="D82" i="61"/>
  <c r="C82" i="61"/>
  <c r="AR81" i="61"/>
  <c r="AQ81" i="61"/>
  <c r="AN81" i="61"/>
  <c r="AM81" i="61"/>
  <c r="AJ81" i="61"/>
  <c r="AI81" i="61"/>
  <c r="AF81" i="61"/>
  <c r="AE81" i="61"/>
  <c r="AB81" i="61"/>
  <c r="AA81" i="61"/>
  <c r="X81" i="61"/>
  <c r="W81" i="61"/>
  <c r="T81" i="61"/>
  <c r="S81" i="61"/>
  <c r="P81" i="61"/>
  <c r="O81" i="61"/>
  <c r="L81" i="61"/>
  <c r="K81" i="61"/>
  <c r="AR80" i="61"/>
  <c r="AQ80" i="61"/>
  <c r="AN80" i="61"/>
  <c r="AM80" i="61"/>
  <c r="AJ80" i="61"/>
  <c r="AI80" i="61"/>
  <c r="AF80" i="61"/>
  <c r="AE80" i="61"/>
  <c r="AB80" i="61"/>
  <c r="AA80" i="61"/>
  <c r="X80" i="61"/>
  <c r="W80" i="61"/>
  <c r="T80" i="61"/>
  <c r="S80" i="61"/>
  <c r="P80" i="61"/>
  <c r="O80" i="61"/>
  <c r="L80" i="61"/>
  <c r="K80" i="61"/>
  <c r="AS79" i="61"/>
  <c r="AO79" i="61"/>
  <c r="AK79" i="61"/>
  <c r="AG79" i="61"/>
  <c r="AC79" i="61"/>
  <c r="Y79" i="61"/>
  <c r="AR78" i="61"/>
  <c r="AQ78" i="61"/>
  <c r="AN78" i="61"/>
  <c r="AM78" i="61"/>
  <c r="AJ78" i="61"/>
  <c r="AI78" i="61"/>
  <c r="AF78" i="61"/>
  <c r="AE78" i="61"/>
  <c r="AB78" i="61"/>
  <c r="AA78" i="61"/>
  <c r="X78" i="61"/>
  <c r="W78" i="61"/>
  <c r="T78" i="61"/>
  <c r="S78" i="61"/>
  <c r="P78" i="61"/>
  <c r="O78" i="61"/>
  <c r="L78" i="61"/>
  <c r="K78" i="61"/>
  <c r="H78" i="61"/>
  <c r="G78" i="61"/>
  <c r="D78" i="61"/>
  <c r="C78" i="61"/>
  <c r="AR77" i="61"/>
  <c r="AQ77" i="61"/>
  <c r="AN77" i="61"/>
  <c r="AM77" i="61"/>
  <c r="AJ77" i="61"/>
  <c r="AI77" i="61"/>
  <c r="AF77" i="61"/>
  <c r="AE77" i="61"/>
  <c r="AB77" i="61"/>
  <c r="AA77" i="61"/>
  <c r="X77" i="61"/>
  <c r="W77" i="61"/>
  <c r="T77" i="61"/>
  <c r="S77" i="61"/>
  <c r="P77" i="61"/>
  <c r="O77" i="61"/>
  <c r="L77" i="61"/>
  <c r="K77" i="61"/>
  <c r="H77" i="61"/>
  <c r="G77" i="61"/>
  <c r="I77" i="61" s="1"/>
  <c r="D77" i="61"/>
  <c r="C77" i="61"/>
  <c r="E77" i="61" s="1"/>
  <c r="AS76" i="61"/>
  <c r="AO76" i="61"/>
  <c r="AK76" i="61"/>
  <c r="AG76" i="61"/>
  <c r="AC76" i="61"/>
  <c r="Y76" i="61"/>
  <c r="D76" i="61"/>
  <c r="C76" i="61"/>
  <c r="E76" i="61" s="1"/>
  <c r="AR75" i="61"/>
  <c r="AQ75" i="61"/>
  <c r="AN75" i="61"/>
  <c r="AM75" i="61"/>
  <c r="AJ75" i="61"/>
  <c r="AI75" i="61"/>
  <c r="AF75" i="61"/>
  <c r="AE75" i="61"/>
  <c r="AB75" i="61"/>
  <c r="AA75" i="61"/>
  <c r="X75" i="61"/>
  <c r="W75" i="61"/>
  <c r="T75" i="61"/>
  <c r="S75" i="61"/>
  <c r="P75" i="61"/>
  <c r="O75" i="61"/>
  <c r="L75" i="61"/>
  <c r="K75" i="61"/>
  <c r="H75" i="61"/>
  <c r="G75" i="61"/>
  <c r="D75" i="61"/>
  <c r="C75" i="61"/>
  <c r="AS74" i="61"/>
  <c r="AO74" i="61"/>
  <c r="AK74" i="61"/>
  <c r="AG74" i="61"/>
  <c r="AC74" i="61"/>
  <c r="Y74" i="61"/>
  <c r="AS73" i="61"/>
  <c r="AO73" i="61"/>
  <c r="AK73" i="61"/>
  <c r="AG73" i="61"/>
  <c r="AC73" i="61"/>
  <c r="Y73" i="61"/>
  <c r="AR72" i="61"/>
  <c r="AQ72" i="61"/>
  <c r="AN72" i="61"/>
  <c r="AM72" i="61"/>
  <c r="AJ72" i="61"/>
  <c r="AI72" i="61"/>
  <c r="AF72" i="61"/>
  <c r="AE72" i="61"/>
  <c r="AB72" i="61"/>
  <c r="AA72" i="61"/>
  <c r="X72" i="61"/>
  <c r="W72" i="61"/>
  <c r="T72" i="61"/>
  <c r="S72" i="61"/>
  <c r="P72" i="61"/>
  <c r="O72" i="61"/>
  <c r="L72" i="61"/>
  <c r="K72" i="61"/>
  <c r="H72" i="61"/>
  <c r="G72" i="61"/>
  <c r="D72" i="61"/>
  <c r="C72" i="61"/>
  <c r="E72" i="61" s="1"/>
  <c r="AR71" i="61"/>
  <c r="AQ71" i="61"/>
  <c r="AN71" i="61"/>
  <c r="AM71" i="61"/>
  <c r="AJ71" i="61"/>
  <c r="AI71" i="61"/>
  <c r="AF71" i="61"/>
  <c r="AE71" i="61"/>
  <c r="AB71" i="61"/>
  <c r="AA71" i="61"/>
  <c r="X71" i="61"/>
  <c r="W71" i="61"/>
  <c r="T71" i="61"/>
  <c r="S71" i="61"/>
  <c r="P71" i="61"/>
  <c r="O71" i="61"/>
  <c r="L71" i="61"/>
  <c r="K71" i="61"/>
  <c r="H71" i="61"/>
  <c r="G71" i="61"/>
  <c r="D71" i="61"/>
  <c r="C71" i="61"/>
  <c r="E71" i="61" s="1"/>
  <c r="AR70" i="61"/>
  <c r="AQ70" i="61"/>
  <c r="AN70" i="61"/>
  <c r="AM70" i="61"/>
  <c r="AJ70" i="61"/>
  <c r="AI70" i="61"/>
  <c r="AF70" i="61"/>
  <c r="AE70" i="61"/>
  <c r="AB70" i="61"/>
  <c r="AA70" i="61"/>
  <c r="X70" i="61"/>
  <c r="W70" i="61"/>
  <c r="T70" i="61"/>
  <c r="S70" i="61"/>
  <c r="P70" i="61"/>
  <c r="O70" i="61"/>
  <c r="L70" i="61"/>
  <c r="K70" i="61"/>
  <c r="H70" i="61"/>
  <c r="G70" i="61"/>
  <c r="D70" i="61"/>
  <c r="C70" i="61"/>
  <c r="AR69" i="61"/>
  <c r="AQ69" i="61"/>
  <c r="AN69" i="61"/>
  <c r="AM69" i="61"/>
  <c r="AJ69" i="61"/>
  <c r="AI69" i="61"/>
  <c r="AF69" i="61"/>
  <c r="AE69" i="61"/>
  <c r="AB69" i="61"/>
  <c r="AA69" i="61"/>
  <c r="X69" i="61"/>
  <c r="W69" i="61"/>
  <c r="T69" i="61"/>
  <c r="S69" i="61"/>
  <c r="P69" i="61"/>
  <c r="O69" i="61"/>
  <c r="L69" i="61"/>
  <c r="K69" i="61"/>
  <c r="H69" i="61"/>
  <c r="G69" i="61"/>
  <c r="AR68" i="61"/>
  <c r="AQ68" i="61"/>
  <c r="AN68" i="61"/>
  <c r="AM68" i="61"/>
  <c r="AJ68" i="61"/>
  <c r="AI68" i="61"/>
  <c r="AF68" i="61"/>
  <c r="AE68" i="61"/>
  <c r="AB68" i="61"/>
  <c r="AA68" i="61"/>
  <c r="X68" i="61"/>
  <c r="W68" i="61"/>
  <c r="T68" i="61"/>
  <c r="S68" i="61"/>
  <c r="P68" i="61"/>
  <c r="O68" i="61"/>
  <c r="L68" i="61"/>
  <c r="K68" i="61"/>
  <c r="H68" i="61"/>
  <c r="G68" i="61"/>
  <c r="I68" i="61" s="1"/>
  <c r="D68" i="61"/>
  <c r="C68" i="61"/>
  <c r="E68" i="61" s="1"/>
  <c r="AR67" i="61"/>
  <c r="AQ67" i="61"/>
  <c r="AN67" i="61"/>
  <c r="AM67" i="61"/>
  <c r="AJ67" i="61"/>
  <c r="AI67" i="61"/>
  <c r="AF67" i="61"/>
  <c r="AE67" i="61"/>
  <c r="AB67" i="61"/>
  <c r="AA67" i="61"/>
  <c r="X67" i="61"/>
  <c r="W67" i="61"/>
  <c r="T67" i="61"/>
  <c r="S67" i="61"/>
  <c r="P67" i="61"/>
  <c r="O67" i="61"/>
  <c r="L67" i="61"/>
  <c r="K67" i="61"/>
  <c r="H67" i="61"/>
  <c r="G67" i="61"/>
  <c r="D67" i="61"/>
  <c r="C67" i="61"/>
  <c r="AR66" i="61"/>
  <c r="AQ66" i="61"/>
  <c r="AN66" i="61"/>
  <c r="AM66" i="61"/>
  <c r="AJ66" i="61"/>
  <c r="AI66" i="61"/>
  <c r="AF66" i="61"/>
  <c r="AE66" i="61"/>
  <c r="AB66" i="61"/>
  <c r="AA66" i="61"/>
  <c r="X66" i="61"/>
  <c r="W66" i="61"/>
  <c r="T66" i="61"/>
  <c r="S66" i="61"/>
  <c r="P66" i="61"/>
  <c r="O66" i="61"/>
  <c r="L66" i="61"/>
  <c r="K66" i="61"/>
  <c r="H66" i="61"/>
  <c r="G66" i="61"/>
  <c r="D66" i="61"/>
  <c r="C66" i="61"/>
  <c r="T60" i="61"/>
  <c r="S60" i="61"/>
  <c r="P60" i="61"/>
  <c r="O60" i="61"/>
  <c r="L60" i="61"/>
  <c r="K60" i="61"/>
  <c r="H60" i="61"/>
  <c r="G60" i="61"/>
  <c r="D60" i="61"/>
  <c r="C60" i="61"/>
  <c r="P59" i="61"/>
  <c r="O59" i="61"/>
  <c r="L59" i="61"/>
  <c r="K59" i="61"/>
  <c r="H59" i="61"/>
  <c r="G59" i="61"/>
  <c r="D59" i="61"/>
  <c r="C59" i="61"/>
  <c r="AR57" i="61"/>
  <c r="AQ57" i="61"/>
  <c r="AN57" i="61"/>
  <c r="AM57" i="61"/>
  <c r="AJ57" i="61"/>
  <c r="AI57" i="61"/>
  <c r="AF57" i="61"/>
  <c r="AE57" i="61"/>
  <c r="AB57" i="61"/>
  <c r="AA57" i="61"/>
  <c r="X57" i="61"/>
  <c r="W57" i="61"/>
  <c r="T57" i="61"/>
  <c r="S57" i="61"/>
  <c r="P57" i="61"/>
  <c r="O57" i="61"/>
  <c r="L57" i="61"/>
  <c r="K57" i="61"/>
  <c r="H57" i="61"/>
  <c r="G57" i="61"/>
  <c r="D57" i="61"/>
  <c r="C57" i="61"/>
  <c r="AS56" i="61"/>
  <c r="AF56" i="61"/>
  <c r="AE56" i="61"/>
  <c r="AB56" i="61"/>
  <c r="AA56" i="61"/>
  <c r="X56" i="61"/>
  <c r="W56" i="61"/>
  <c r="T56" i="61"/>
  <c r="S56" i="61"/>
  <c r="P56" i="61"/>
  <c r="O56" i="61"/>
  <c r="L56" i="61"/>
  <c r="K56" i="61"/>
  <c r="H56" i="61"/>
  <c r="I56" i="61" s="1"/>
  <c r="G56" i="61"/>
  <c r="D56" i="61"/>
  <c r="C56" i="61"/>
  <c r="AS55" i="61"/>
  <c r="AG55" i="61"/>
  <c r="AC55" i="61"/>
  <c r="Y55" i="61"/>
  <c r="U55" i="61"/>
  <c r="AR54" i="61"/>
  <c r="AQ54" i="61"/>
  <c r="AN54" i="61"/>
  <c r="AM54" i="61"/>
  <c r="AJ54" i="61"/>
  <c r="AI54" i="61"/>
  <c r="AF54" i="61"/>
  <c r="AE54" i="61"/>
  <c r="AB54" i="61"/>
  <c r="AA54" i="61"/>
  <c r="X54" i="61"/>
  <c r="W54" i="61"/>
  <c r="T54" i="61"/>
  <c r="S54" i="61"/>
  <c r="P54" i="61"/>
  <c r="O54" i="61"/>
  <c r="L54" i="61"/>
  <c r="K54" i="61"/>
  <c r="H54" i="61"/>
  <c r="G54" i="61"/>
  <c r="I54" i="61" s="1"/>
  <c r="D54" i="61"/>
  <c r="C54" i="61"/>
  <c r="E54" i="61" s="1"/>
  <c r="AR53" i="61"/>
  <c r="AQ53" i="61"/>
  <c r="AN53" i="61"/>
  <c r="AM53" i="61"/>
  <c r="AJ53" i="61"/>
  <c r="AI53" i="61"/>
  <c r="AF53" i="61"/>
  <c r="AE53" i="61"/>
  <c r="AB53" i="61"/>
  <c r="AA53" i="61"/>
  <c r="X53" i="61"/>
  <c r="W53" i="61"/>
  <c r="T53" i="61"/>
  <c r="S53" i="61"/>
  <c r="P53" i="61"/>
  <c r="O53" i="61"/>
  <c r="L53" i="61"/>
  <c r="K53" i="61"/>
  <c r="H53" i="61"/>
  <c r="G53" i="61"/>
  <c r="D53" i="61"/>
  <c r="C53" i="61"/>
  <c r="AR52" i="61"/>
  <c r="AQ52" i="61"/>
  <c r="AN52" i="61"/>
  <c r="AM52" i="61"/>
  <c r="AJ52" i="61"/>
  <c r="AI52" i="61"/>
  <c r="AF52" i="61"/>
  <c r="AE52" i="61"/>
  <c r="AB52" i="61"/>
  <c r="AA52" i="61"/>
  <c r="X52" i="61"/>
  <c r="W52" i="61"/>
  <c r="T52" i="61"/>
  <c r="S52" i="61"/>
  <c r="P52" i="61"/>
  <c r="O52" i="61"/>
  <c r="L52" i="61"/>
  <c r="K52" i="61"/>
  <c r="H52" i="61"/>
  <c r="G52" i="61"/>
  <c r="D52" i="61"/>
  <c r="C52" i="61"/>
  <c r="AR51" i="61"/>
  <c r="AQ51" i="61"/>
  <c r="AN51" i="61"/>
  <c r="AM51" i="61"/>
  <c r="AJ51" i="61"/>
  <c r="AI51" i="61"/>
  <c r="AF51" i="61"/>
  <c r="AE51" i="61"/>
  <c r="AB51" i="61"/>
  <c r="AA51" i="61"/>
  <c r="X51" i="61"/>
  <c r="W51" i="61"/>
  <c r="T51" i="61"/>
  <c r="S51" i="61"/>
  <c r="P51" i="61"/>
  <c r="O51" i="61"/>
  <c r="L51" i="61"/>
  <c r="K51" i="61"/>
  <c r="H51" i="61"/>
  <c r="G51" i="61"/>
  <c r="D51" i="61"/>
  <c r="C51" i="61"/>
  <c r="E51" i="61" s="1"/>
  <c r="AS50" i="61"/>
  <c r="AO50" i="61"/>
  <c r="AK50" i="61"/>
  <c r="AG50" i="61"/>
  <c r="AC50" i="61"/>
  <c r="Y50" i="61"/>
  <c r="U50" i="61"/>
  <c r="AR49" i="61"/>
  <c r="AQ49" i="61"/>
  <c r="AN49" i="61"/>
  <c r="AM49" i="61"/>
  <c r="AJ49" i="61"/>
  <c r="AI49" i="61"/>
  <c r="AF49" i="61"/>
  <c r="AE49" i="61"/>
  <c r="AB49" i="61"/>
  <c r="AA49" i="61"/>
  <c r="X49" i="61"/>
  <c r="W49" i="61"/>
  <c r="T49" i="61"/>
  <c r="S49" i="61"/>
  <c r="P49" i="61"/>
  <c r="O49" i="61"/>
  <c r="L49" i="61"/>
  <c r="K49" i="61"/>
  <c r="H49" i="61"/>
  <c r="G49" i="61"/>
  <c r="D49" i="61"/>
  <c r="C49" i="61"/>
  <c r="AR48" i="61"/>
  <c r="AQ48" i="61"/>
  <c r="AN48" i="61"/>
  <c r="AM48" i="61"/>
  <c r="AJ48" i="61"/>
  <c r="AI48" i="61"/>
  <c r="AF48" i="61"/>
  <c r="AE48" i="61"/>
  <c r="AB48" i="61"/>
  <c r="AA48" i="61"/>
  <c r="X48" i="61"/>
  <c r="W48" i="61"/>
  <c r="T48" i="61"/>
  <c r="S48" i="61"/>
  <c r="P48" i="61"/>
  <c r="O48" i="61"/>
  <c r="L48" i="61"/>
  <c r="K48" i="61"/>
  <c r="H48" i="61"/>
  <c r="G48" i="61"/>
  <c r="D48" i="61"/>
  <c r="C48" i="61"/>
  <c r="AR47" i="61"/>
  <c r="AQ47" i="61"/>
  <c r="AN47" i="61"/>
  <c r="AM47" i="61"/>
  <c r="AJ47" i="61"/>
  <c r="AI47" i="61"/>
  <c r="AF47" i="61"/>
  <c r="AE47" i="61"/>
  <c r="AB47" i="61"/>
  <c r="AA47" i="61"/>
  <c r="X47" i="61"/>
  <c r="W47" i="61"/>
  <c r="T47" i="61"/>
  <c r="S47" i="61"/>
  <c r="P47" i="61"/>
  <c r="O47" i="61"/>
  <c r="L47" i="61"/>
  <c r="K47" i="61"/>
  <c r="H47" i="61"/>
  <c r="G47" i="61"/>
  <c r="D47" i="61"/>
  <c r="C47" i="61"/>
  <c r="AR46" i="61"/>
  <c r="AQ46" i="61"/>
  <c r="AN46" i="61"/>
  <c r="AM46" i="61"/>
  <c r="AJ46" i="61"/>
  <c r="AI46" i="61"/>
  <c r="AF46" i="61"/>
  <c r="AE46" i="61"/>
  <c r="AB46" i="61"/>
  <c r="AA46" i="61"/>
  <c r="X46" i="61"/>
  <c r="W46" i="61"/>
  <c r="T46" i="61"/>
  <c r="S46" i="61"/>
  <c r="P46" i="61"/>
  <c r="O46" i="61"/>
  <c r="L46" i="61"/>
  <c r="K46" i="61"/>
  <c r="H46" i="61"/>
  <c r="G46" i="61"/>
  <c r="D46" i="61"/>
  <c r="C46" i="61"/>
  <c r="AR40" i="61"/>
  <c r="AQ40" i="61"/>
  <c r="AN40" i="61"/>
  <c r="AM40" i="61"/>
  <c r="AJ40" i="61"/>
  <c r="AI40" i="61"/>
  <c r="AF40" i="61"/>
  <c r="AE40" i="61"/>
  <c r="AB40" i="61"/>
  <c r="AA40" i="61"/>
  <c r="X40" i="61"/>
  <c r="W40" i="61"/>
  <c r="T40" i="61"/>
  <c r="S40" i="61"/>
  <c r="P40" i="61"/>
  <c r="O40" i="61"/>
  <c r="L40" i="61"/>
  <c r="K40" i="61"/>
  <c r="H40" i="61"/>
  <c r="G40" i="61"/>
  <c r="D40" i="61"/>
  <c r="C40" i="61"/>
  <c r="AR39" i="61"/>
  <c r="AQ39" i="61"/>
  <c r="AN39" i="61"/>
  <c r="AM39" i="61"/>
  <c r="AJ39" i="61"/>
  <c r="AI39" i="61"/>
  <c r="AF39" i="61"/>
  <c r="AE39" i="61"/>
  <c r="AB39" i="61"/>
  <c r="AA39" i="61"/>
  <c r="X39" i="61"/>
  <c r="W39" i="61"/>
  <c r="T39" i="61"/>
  <c r="S39" i="61"/>
  <c r="P39" i="61"/>
  <c r="O39" i="61"/>
  <c r="L39" i="61"/>
  <c r="K39" i="61"/>
  <c r="H39" i="61"/>
  <c r="G39" i="61"/>
  <c r="D39" i="61"/>
  <c r="C39" i="61"/>
  <c r="AR38" i="61"/>
  <c r="AQ38" i="61"/>
  <c r="AN38" i="61"/>
  <c r="AM38" i="61"/>
  <c r="AJ38" i="61"/>
  <c r="AI38" i="61"/>
  <c r="AF38" i="61"/>
  <c r="AE38" i="61"/>
  <c r="AB38" i="61"/>
  <c r="AA38" i="61"/>
  <c r="X38" i="61"/>
  <c r="W38" i="61"/>
  <c r="T38" i="61"/>
  <c r="S38" i="61"/>
  <c r="P38" i="61"/>
  <c r="O38" i="61"/>
  <c r="L38" i="61"/>
  <c r="K38" i="61"/>
  <c r="H38" i="61"/>
  <c r="G38" i="61"/>
  <c r="D38" i="61"/>
  <c r="C38" i="61"/>
  <c r="AR37" i="61"/>
  <c r="AQ37" i="61"/>
  <c r="AN37" i="61"/>
  <c r="AM37" i="61"/>
  <c r="AJ37" i="61"/>
  <c r="AI37" i="61"/>
  <c r="AF37" i="61"/>
  <c r="AE37" i="61"/>
  <c r="AB37" i="61"/>
  <c r="AA37" i="61"/>
  <c r="X37" i="61"/>
  <c r="W37" i="61"/>
  <c r="T37" i="61"/>
  <c r="S37" i="61"/>
  <c r="P37" i="61"/>
  <c r="O37" i="61"/>
  <c r="L37" i="61"/>
  <c r="K37" i="61"/>
  <c r="H37" i="61"/>
  <c r="G37" i="61"/>
  <c r="D37" i="61"/>
  <c r="C37" i="61"/>
  <c r="AR36" i="61"/>
  <c r="AQ36" i="61"/>
  <c r="AN36" i="61"/>
  <c r="AM36" i="61"/>
  <c r="AJ36" i="61"/>
  <c r="AI36" i="61"/>
  <c r="AF36" i="61"/>
  <c r="AE36" i="61"/>
  <c r="AB36" i="61"/>
  <c r="AA36" i="61"/>
  <c r="X36" i="61"/>
  <c r="W36" i="61"/>
  <c r="T36" i="61"/>
  <c r="S36" i="61"/>
  <c r="P36" i="61"/>
  <c r="O36" i="61"/>
  <c r="L36" i="61"/>
  <c r="K36" i="61"/>
  <c r="H36" i="61"/>
  <c r="G36" i="61"/>
  <c r="D36" i="61"/>
  <c r="C36" i="61"/>
  <c r="AR35" i="61"/>
  <c r="AQ35" i="61"/>
  <c r="AM35" i="61"/>
  <c r="AJ35" i="61"/>
  <c r="AI35" i="61"/>
  <c r="AF35" i="61"/>
  <c r="AE35" i="61"/>
  <c r="AB35" i="61"/>
  <c r="AA35" i="61"/>
  <c r="X35" i="61"/>
  <c r="W35" i="61"/>
  <c r="T35" i="61"/>
  <c r="S35" i="61"/>
  <c r="P35" i="61"/>
  <c r="O35" i="61"/>
  <c r="L35" i="61"/>
  <c r="K35" i="61"/>
  <c r="H35" i="61"/>
  <c r="G35" i="61"/>
  <c r="D35" i="61"/>
  <c r="C35" i="61"/>
  <c r="AR34" i="61"/>
  <c r="AQ34" i="61"/>
  <c r="AN34" i="61"/>
  <c r="AM34" i="61"/>
  <c r="AJ34" i="61"/>
  <c r="AI34" i="61"/>
  <c r="AF34" i="61"/>
  <c r="AE34" i="61"/>
  <c r="AB34" i="61"/>
  <c r="AA34" i="61"/>
  <c r="X34" i="61"/>
  <c r="W34" i="61"/>
  <c r="T34" i="61"/>
  <c r="S34" i="61"/>
  <c r="P34" i="61"/>
  <c r="O34" i="61"/>
  <c r="L34" i="61"/>
  <c r="K34" i="61"/>
  <c r="H34" i="61"/>
  <c r="G34" i="61"/>
  <c r="D34" i="61"/>
  <c r="C34" i="61"/>
  <c r="AR33" i="61"/>
  <c r="AQ33" i="61"/>
  <c r="AN33" i="61"/>
  <c r="AM33" i="61"/>
  <c r="AJ33" i="61"/>
  <c r="AI33" i="61"/>
  <c r="AF33" i="61"/>
  <c r="AE33" i="61"/>
  <c r="AB33" i="61"/>
  <c r="AA33" i="61"/>
  <c r="X33" i="61"/>
  <c r="W33" i="61"/>
  <c r="T33" i="61"/>
  <c r="S33" i="61"/>
  <c r="P33" i="61"/>
  <c r="O33" i="61"/>
  <c r="L33" i="61"/>
  <c r="K33" i="61"/>
  <c r="H33" i="61"/>
  <c r="G33" i="61"/>
  <c r="C33" i="61"/>
  <c r="AR32" i="61"/>
  <c r="AQ32" i="61"/>
  <c r="AN32" i="61"/>
  <c r="AM32" i="61"/>
  <c r="AJ32" i="61"/>
  <c r="AI32" i="61"/>
  <c r="AF32" i="61"/>
  <c r="AE32" i="61"/>
  <c r="AB32" i="61"/>
  <c r="AA32" i="61"/>
  <c r="X32" i="61"/>
  <c r="W32" i="61"/>
  <c r="T32" i="61"/>
  <c r="S32" i="61"/>
  <c r="P32" i="61"/>
  <c r="O32" i="61"/>
  <c r="L32" i="61"/>
  <c r="K32" i="61"/>
  <c r="H32" i="61"/>
  <c r="G32" i="61"/>
  <c r="D32" i="61"/>
  <c r="C32" i="61"/>
  <c r="AR31" i="61"/>
  <c r="AQ31" i="61"/>
  <c r="AN31" i="61"/>
  <c r="AM31" i="61"/>
  <c r="AJ31" i="61"/>
  <c r="AI31" i="61"/>
  <c r="AF31" i="61"/>
  <c r="AE31" i="61"/>
  <c r="AB31" i="61"/>
  <c r="AA31" i="61"/>
  <c r="X31" i="61"/>
  <c r="W31" i="61"/>
  <c r="T31" i="61"/>
  <c r="S31" i="61"/>
  <c r="P31" i="61"/>
  <c r="O31" i="61"/>
  <c r="L31" i="61"/>
  <c r="K31" i="61"/>
  <c r="H31" i="61"/>
  <c r="G31" i="61"/>
  <c r="D31" i="61"/>
  <c r="E31" i="61" s="1"/>
  <c r="C31" i="61"/>
  <c r="AR30" i="61"/>
  <c r="AQ30" i="61"/>
  <c r="AN30" i="61"/>
  <c r="AM30" i="61"/>
  <c r="AJ30" i="61"/>
  <c r="AI30" i="61"/>
  <c r="AF30" i="61"/>
  <c r="AE30" i="61"/>
  <c r="AB30" i="61"/>
  <c r="AA30" i="61"/>
  <c r="X30" i="61"/>
  <c r="W30" i="61"/>
  <c r="T30" i="61"/>
  <c r="S30" i="61"/>
  <c r="P30" i="61"/>
  <c r="O30" i="61"/>
  <c r="L30" i="61"/>
  <c r="K30" i="61"/>
  <c r="H30" i="61"/>
  <c r="G30" i="61"/>
  <c r="D30" i="61"/>
  <c r="C30" i="61"/>
  <c r="AR29" i="61"/>
  <c r="AQ29" i="61"/>
  <c r="AN29" i="61"/>
  <c r="AM29" i="61"/>
  <c r="AJ29" i="61"/>
  <c r="AI29" i="61"/>
  <c r="AF29" i="61"/>
  <c r="AE29" i="61"/>
  <c r="AB29" i="61"/>
  <c r="AA29" i="61"/>
  <c r="X29" i="61"/>
  <c r="W29" i="61"/>
  <c r="T29" i="61"/>
  <c r="S29" i="61"/>
  <c r="P29" i="61"/>
  <c r="O29" i="61"/>
  <c r="L29" i="61"/>
  <c r="K29" i="61"/>
  <c r="H29" i="61"/>
  <c r="G29" i="61"/>
  <c r="D29" i="61"/>
  <c r="C29" i="61"/>
  <c r="AR28" i="61"/>
  <c r="AQ28" i="61"/>
  <c r="AN28" i="61"/>
  <c r="AM28" i="61"/>
  <c r="AJ28" i="61"/>
  <c r="AI28" i="61"/>
  <c r="AF28" i="61"/>
  <c r="AE28" i="61"/>
  <c r="AB28" i="61"/>
  <c r="AA28" i="61"/>
  <c r="X28" i="61"/>
  <c r="W28" i="61"/>
  <c r="T28" i="61"/>
  <c r="S28" i="61"/>
  <c r="P28" i="61"/>
  <c r="O28" i="61"/>
  <c r="L28" i="61"/>
  <c r="K28" i="61"/>
  <c r="H28" i="61"/>
  <c r="G28" i="61"/>
  <c r="D28" i="61"/>
  <c r="C28" i="61"/>
  <c r="AR27" i="61"/>
  <c r="AQ27" i="61"/>
  <c r="AN27" i="61"/>
  <c r="AM27" i="61"/>
  <c r="AJ27" i="61"/>
  <c r="AI27" i="61"/>
  <c r="AF27" i="61"/>
  <c r="AE27" i="61"/>
  <c r="AB27" i="61"/>
  <c r="AA27" i="61"/>
  <c r="X27" i="61"/>
  <c r="W27" i="61"/>
  <c r="T27" i="61"/>
  <c r="S27" i="61"/>
  <c r="P27" i="61"/>
  <c r="O27" i="61"/>
  <c r="L27" i="61"/>
  <c r="K27" i="61"/>
  <c r="H27" i="61"/>
  <c r="G27" i="61"/>
  <c r="D27" i="61"/>
  <c r="C27" i="61"/>
  <c r="AQ26" i="61"/>
  <c r="AM26" i="61"/>
  <c r="AI26" i="61"/>
  <c r="AE26" i="61"/>
  <c r="AA26" i="61"/>
  <c r="W26" i="61"/>
  <c r="S26" i="61"/>
  <c r="O26" i="61"/>
  <c r="K26" i="61"/>
  <c r="G26" i="61"/>
  <c r="D26" i="61"/>
  <c r="C26" i="61"/>
  <c r="AR25" i="61"/>
  <c r="AQ25" i="61"/>
  <c r="AN25" i="61"/>
  <c r="AM25" i="61"/>
  <c r="AJ25" i="61"/>
  <c r="AI25" i="61"/>
  <c r="AF25" i="61"/>
  <c r="AE25" i="61"/>
  <c r="AB25" i="61"/>
  <c r="AA25" i="61"/>
  <c r="X25" i="61"/>
  <c r="W25" i="61"/>
  <c r="T25" i="61"/>
  <c r="S25" i="61"/>
  <c r="P25" i="61"/>
  <c r="O25" i="61"/>
  <c r="L25" i="61"/>
  <c r="K25" i="61"/>
  <c r="H25" i="61"/>
  <c r="G25" i="61"/>
  <c r="D25" i="61"/>
  <c r="C25" i="61"/>
  <c r="AR24" i="61"/>
  <c r="AQ24" i="61"/>
  <c r="AN24" i="61"/>
  <c r="AM24" i="61"/>
  <c r="AJ24" i="61"/>
  <c r="AI24" i="61"/>
  <c r="AF24" i="61"/>
  <c r="AE24" i="61"/>
  <c r="AB24" i="61"/>
  <c r="AA24" i="61"/>
  <c r="X24" i="61"/>
  <c r="W24" i="61"/>
  <c r="T24" i="61"/>
  <c r="S24" i="61"/>
  <c r="P24" i="61"/>
  <c r="O24" i="61"/>
  <c r="L24" i="61"/>
  <c r="K24" i="61"/>
  <c r="H24" i="61"/>
  <c r="G24" i="61"/>
  <c r="D24" i="61"/>
  <c r="C24" i="61"/>
  <c r="AR23" i="61"/>
  <c r="AQ23" i="61"/>
  <c r="AN23" i="61"/>
  <c r="AM23" i="61"/>
  <c r="AJ23" i="61"/>
  <c r="AI23" i="61"/>
  <c r="AF23" i="61"/>
  <c r="AE23" i="61"/>
  <c r="AB23" i="61"/>
  <c r="AA23" i="61"/>
  <c r="X23" i="61"/>
  <c r="W23" i="61"/>
  <c r="T23" i="61"/>
  <c r="S23" i="61"/>
  <c r="P23" i="61"/>
  <c r="O23" i="61"/>
  <c r="L23" i="61"/>
  <c r="K23" i="61"/>
  <c r="H23" i="61"/>
  <c r="G23" i="61"/>
  <c r="D23" i="61"/>
  <c r="C23" i="61"/>
  <c r="AR22" i="61"/>
  <c r="AQ22" i="61"/>
  <c r="AN22" i="61"/>
  <c r="AM22" i="61"/>
  <c r="AJ22" i="61"/>
  <c r="AI22" i="61"/>
  <c r="AF22" i="61"/>
  <c r="AE22" i="61"/>
  <c r="AB22" i="61"/>
  <c r="AA22" i="61"/>
  <c r="X22" i="61"/>
  <c r="W22" i="61"/>
  <c r="T22" i="61"/>
  <c r="S22" i="61"/>
  <c r="P22" i="61"/>
  <c r="O22" i="61"/>
  <c r="L22" i="61"/>
  <c r="K22" i="61"/>
  <c r="H22" i="61"/>
  <c r="G22" i="61"/>
  <c r="D22" i="61"/>
  <c r="C22" i="61"/>
  <c r="AR21" i="61"/>
  <c r="AQ21" i="61"/>
  <c r="AN21" i="61"/>
  <c r="AM21" i="61"/>
  <c r="AJ21" i="61"/>
  <c r="AI21" i="61"/>
  <c r="AE21" i="61"/>
  <c r="AB21" i="61"/>
  <c r="AA21" i="61"/>
  <c r="X21" i="61"/>
  <c r="W21" i="61"/>
  <c r="T21" i="61"/>
  <c r="S21" i="61"/>
  <c r="P21" i="61"/>
  <c r="O21" i="61"/>
  <c r="L21" i="61"/>
  <c r="K21" i="61"/>
  <c r="H21" i="61"/>
  <c r="G21" i="61"/>
  <c r="D21" i="61"/>
  <c r="C21" i="61"/>
  <c r="AR20" i="61"/>
  <c r="AQ20" i="61"/>
  <c r="AN20" i="61"/>
  <c r="AM20" i="61"/>
  <c r="AJ20" i="61"/>
  <c r="AI20" i="61"/>
  <c r="AF20" i="61"/>
  <c r="AE20" i="61"/>
  <c r="AB20" i="61"/>
  <c r="AA20" i="61"/>
  <c r="X20" i="61"/>
  <c r="W20" i="61"/>
  <c r="T20" i="61"/>
  <c r="S20" i="61"/>
  <c r="P20" i="61"/>
  <c r="O20" i="61"/>
  <c r="L20" i="61"/>
  <c r="K20" i="61"/>
  <c r="H20" i="61"/>
  <c r="G20" i="61"/>
  <c r="D20" i="61"/>
  <c r="C20" i="61"/>
  <c r="AR19" i="61"/>
  <c r="AQ19" i="61"/>
  <c r="AN19" i="61"/>
  <c r="AM19" i="61"/>
  <c r="AJ19" i="61"/>
  <c r="AI19" i="61"/>
  <c r="AF19" i="61"/>
  <c r="AE19" i="61"/>
  <c r="AB19" i="61"/>
  <c r="AA19" i="61"/>
  <c r="X19" i="61"/>
  <c r="W19" i="61"/>
  <c r="T19" i="61"/>
  <c r="S19" i="61"/>
  <c r="P19" i="61"/>
  <c r="O19" i="61"/>
  <c r="L19" i="61"/>
  <c r="K19" i="61"/>
  <c r="H19" i="61"/>
  <c r="G19" i="61"/>
  <c r="D19" i="61"/>
  <c r="C19" i="61"/>
  <c r="E19" i="61" s="1"/>
  <c r="H210" i="60"/>
  <c r="C51" i="21" s="1"/>
  <c r="H206" i="60"/>
  <c r="C31" i="10" s="1"/>
  <c r="H204" i="60"/>
  <c r="C33" i="49" s="1"/>
  <c r="H202" i="60"/>
  <c r="C30" i="46" s="1"/>
  <c r="H200" i="60"/>
  <c r="C30" i="25" s="1"/>
  <c r="H189" i="60"/>
  <c r="C35" i="31" s="1"/>
  <c r="H187" i="60"/>
  <c r="C33" i="19" s="1"/>
  <c r="H183" i="60"/>
  <c r="C34" i="36" s="1"/>
  <c r="H178" i="60"/>
  <c r="K32" i="52" s="1"/>
  <c r="H176" i="60"/>
  <c r="H32" i="52" s="1"/>
  <c r="H174" i="60"/>
  <c r="C36" i="40" s="1"/>
  <c r="H170" i="60"/>
  <c r="C24" i="6" s="1"/>
  <c r="H168" i="60"/>
  <c r="C29" i="3" s="1"/>
  <c r="H166" i="60"/>
  <c r="B32" i="52" s="1"/>
  <c r="H164" i="60"/>
  <c r="C33" i="29" s="1"/>
  <c r="H160" i="60"/>
  <c r="C37" i="35" s="1"/>
  <c r="H154" i="60"/>
  <c r="C21" i="4" s="1"/>
  <c r="H148" i="60"/>
  <c r="N24" i="52" s="1"/>
  <c r="H146" i="60"/>
  <c r="C31" i="22" s="1"/>
  <c r="H136" i="60"/>
  <c r="C34" i="11" s="1"/>
  <c r="H133" i="60"/>
  <c r="C32" i="32" s="1"/>
  <c r="H127" i="60"/>
  <c r="C37" i="37" s="1"/>
  <c r="H125" i="60"/>
  <c r="C38" i="51" s="1"/>
  <c r="H122" i="60"/>
  <c r="C34" i="26" s="1"/>
  <c r="H118" i="60"/>
  <c r="C41" i="47" s="1"/>
  <c r="H104" i="60"/>
  <c r="C36" i="7" s="1"/>
  <c r="H91" i="60"/>
  <c r="C38" i="48" s="1"/>
  <c r="H85" i="60"/>
  <c r="K24" i="52" s="1"/>
  <c r="H81" i="60"/>
  <c r="C44" i="44" s="1"/>
  <c r="H69" i="60"/>
  <c r="C30" i="33" s="1"/>
  <c r="H66" i="60"/>
  <c r="H24" i="52" s="1"/>
  <c r="H62" i="60"/>
  <c r="C37" i="38" s="1"/>
  <c r="H58" i="60"/>
  <c r="E24" i="52" s="1"/>
  <c r="H53" i="60"/>
  <c r="B24" i="52" s="1"/>
  <c r="H51" i="60"/>
  <c r="N16" i="52" s="1"/>
  <c r="H43" i="60"/>
  <c r="E16" i="52" s="1"/>
  <c r="H41" i="60"/>
  <c r="C36" i="34" s="1"/>
  <c r="H39" i="60"/>
  <c r="C38" i="13" s="1"/>
  <c r="H37" i="60"/>
  <c r="C38" i="12" s="1"/>
  <c r="H35" i="60"/>
  <c r="C41" i="30" s="1"/>
  <c r="H30" i="60"/>
  <c r="N8" i="52" s="1"/>
  <c r="H26" i="60"/>
  <c r="K8" i="52" s="1"/>
  <c r="H24" i="60"/>
  <c r="C38" i="17" s="1"/>
  <c r="H15" i="60"/>
  <c r="C40" i="16" s="1"/>
  <c r="H13" i="60"/>
  <c r="C41" i="45" s="1"/>
  <c r="H9" i="60"/>
  <c r="H8" i="52" s="1"/>
  <c r="H7" i="60"/>
  <c r="E8" i="52" s="1"/>
  <c r="H5" i="60"/>
  <c r="B8" i="52" s="1"/>
  <c r="H454" i="59"/>
  <c r="B38" i="51" s="1"/>
  <c r="H437" i="59"/>
  <c r="B36" i="50" s="1"/>
  <c r="H414" i="59"/>
  <c r="B41" i="47" s="1"/>
  <c r="H398" i="59"/>
  <c r="B41" i="45" s="1"/>
  <c r="H367" i="59"/>
  <c r="B44" i="44" s="1"/>
  <c r="H346" i="59"/>
  <c r="B24" i="43" s="1"/>
  <c r="H320" i="59"/>
  <c r="B37" i="38" s="1"/>
  <c r="H302" i="59"/>
  <c r="E32" i="52" s="1"/>
  <c r="H293" i="59"/>
  <c r="B36" i="34" s="1"/>
  <c r="H281" i="59"/>
  <c r="B35" i="31" s="1"/>
  <c r="H256" i="59"/>
  <c r="B41" i="30" s="1"/>
  <c r="H239" i="59"/>
  <c r="B34" i="26" s="1"/>
  <c r="H209" i="59"/>
  <c r="B30" i="25" s="1"/>
  <c r="H161" i="59"/>
  <c r="B51" i="21" s="1"/>
  <c r="H150" i="59"/>
  <c r="B44" i="18" s="1"/>
  <c r="H129" i="59"/>
  <c r="B38" i="17" s="1"/>
  <c r="H112" i="59"/>
  <c r="B40" i="16" s="1"/>
  <c r="H87" i="59"/>
  <c r="B38" i="13" s="1"/>
  <c r="H65" i="59"/>
  <c r="B38" i="12" s="1"/>
  <c r="H44" i="59"/>
  <c r="B34" i="11" s="1"/>
  <c r="H23" i="59"/>
  <c r="B31" i="10" s="1"/>
  <c r="I59" i="61" l="1"/>
  <c r="E82" i="61"/>
  <c r="E83" i="61"/>
  <c r="I20" i="61"/>
  <c r="U19" i="61"/>
  <c r="AK19" i="61"/>
  <c r="Y20" i="61"/>
  <c r="AO20" i="61"/>
  <c r="AK31" i="61"/>
  <c r="M33" i="61"/>
  <c r="Y33" i="61"/>
  <c r="AC33" i="61"/>
  <c r="AO33" i="61"/>
  <c r="M34" i="61"/>
  <c r="AS34" i="61"/>
  <c r="AG35" i="61"/>
  <c r="AS40" i="61"/>
  <c r="Q46" i="61"/>
  <c r="U51" i="61"/>
  <c r="Q53" i="61"/>
  <c r="U53" i="61"/>
  <c r="Y53" i="61"/>
  <c r="AC53" i="61"/>
  <c r="AG53" i="61"/>
  <c r="Q54" i="61"/>
  <c r="U54" i="61"/>
  <c r="AK54" i="61"/>
  <c r="AS54" i="61"/>
  <c r="AG57" i="61"/>
  <c r="AS57" i="61"/>
  <c r="U60" i="61"/>
  <c r="AG66" i="61"/>
  <c r="AO66" i="61"/>
  <c r="U67" i="61"/>
  <c r="AC67" i="61"/>
  <c r="AG68" i="61"/>
  <c r="AK68" i="61"/>
  <c r="AO68" i="61"/>
  <c r="Q69" i="61"/>
  <c r="AC69" i="61"/>
  <c r="AG69" i="61"/>
  <c r="AS69" i="61"/>
  <c r="Q70" i="61"/>
  <c r="U70" i="61"/>
  <c r="Y70" i="61"/>
  <c r="AK70" i="61"/>
  <c r="M71" i="61"/>
  <c r="U71" i="61"/>
  <c r="Y71" i="61"/>
  <c r="AG71" i="61"/>
  <c r="U72" i="61"/>
  <c r="AC72" i="61"/>
  <c r="AK72" i="61"/>
  <c r="AC75" i="61"/>
  <c r="AG75" i="61"/>
  <c r="AK75" i="61"/>
  <c r="AS75" i="61"/>
  <c r="AG77" i="61"/>
  <c r="AC78" i="61"/>
  <c r="AG78" i="61"/>
  <c r="AK78" i="61"/>
  <c r="AS78" i="61"/>
  <c r="M80" i="61"/>
  <c r="Q80" i="61"/>
  <c r="AC80" i="61"/>
  <c r="AS80" i="61"/>
  <c r="M81" i="61"/>
  <c r="Q81" i="61"/>
  <c r="AC81" i="61"/>
  <c r="Y85" i="61"/>
  <c r="Y86" i="61"/>
  <c r="AO86" i="61"/>
  <c r="M94" i="61"/>
  <c r="AC94" i="61"/>
  <c r="M25" i="61"/>
  <c r="AC25" i="61"/>
  <c r="AS25" i="61"/>
  <c r="AO27" i="61"/>
  <c r="U29" i="61"/>
  <c r="AK36" i="61"/>
  <c r="I94" i="61"/>
  <c r="U35" i="61"/>
  <c r="Y49" i="61"/>
  <c r="H211" i="60"/>
  <c r="AS20" i="61"/>
  <c r="I22" i="61"/>
  <c r="E25" i="61"/>
  <c r="AK25" i="61"/>
  <c r="E28" i="61"/>
  <c r="E30" i="61"/>
  <c r="Q31" i="61"/>
  <c r="Y31" i="61"/>
  <c r="M32" i="61"/>
  <c r="AC32" i="61"/>
  <c r="AK32" i="61"/>
  <c r="AS32" i="61"/>
  <c r="E37" i="61"/>
  <c r="AS37" i="61"/>
  <c r="AG38" i="61"/>
  <c r="E39" i="61"/>
  <c r="U39" i="61"/>
  <c r="AC39" i="61"/>
  <c r="AG40" i="61"/>
  <c r="AO40" i="61"/>
  <c r="M46" i="61"/>
  <c r="AI61" i="61"/>
  <c r="AH5" i="61" s="1"/>
  <c r="AG47" i="61"/>
  <c r="U48" i="61"/>
  <c r="AK48" i="61"/>
  <c r="I49" i="61"/>
  <c r="I52" i="61"/>
  <c r="E84" i="61"/>
  <c r="AC85" i="61"/>
  <c r="AC28" i="61"/>
  <c r="AS24" i="61"/>
  <c r="AG25" i="61"/>
  <c r="M31" i="61"/>
  <c r="AC31" i="61"/>
  <c r="AK40" i="61"/>
  <c r="Y46" i="61"/>
  <c r="M47" i="61"/>
  <c r="I51" i="61"/>
  <c r="AG56" i="61"/>
  <c r="Q96" i="61"/>
  <c r="M36" i="61"/>
  <c r="AG37" i="61"/>
  <c r="U38" i="61"/>
  <c r="I39" i="61"/>
  <c r="I48" i="61"/>
  <c r="Y48" i="61"/>
  <c r="AO48" i="61"/>
  <c r="Y93" i="61"/>
  <c r="AG95" i="61"/>
  <c r="U96" i="61"/>
  <c r="Q33" i="61"/>
  <c r="AK77" i="61"/>
  <c r="I78" i="61"/>
  <c r="Y78" i="61"/>
  <c r="I47" i="61"/>
  <c r="AO47" i="61"/>
  <c r="AC48" i="61"/>
  <c r="M56" i="61"/>
  <c r="AC56" i="61"/>
  <c r="AC19" i="61"/>
  <c r="AS19" i="61"/>
  <c r="AS23" i="61"/>
  <c r="AC47" i="61"/>
  <c r="Q49" i="61"/>
  <c r="AO53" i="61"/>
  <c r="E59" i="61"/>
  <c r="I75" i="61"/>
  <c r="AO75" i="61"/>
  <c r="AC77" i="61"/>
  <c r="Q78" i="61"/>
  <c r="M86" i="61"/>
  <c r="AS86" i="61"/>
  <c r="AG92" i="61"/>
  <c r="E93" i="61"/>
  <c r="Y95" i="61"/>
  <c r="M22" i="61"/>
  <c r="AC22" i="61"/>
  <c r="AS22" i="61"/>
  <c r="AG23" i="61"/>
  <c r="U24" i="61"/>
  <c r="I25" i="61"/>
  <c r="Y25" i="61"/>
  <c r="AO25" i="61"/>
  <c r="AK27" i="61"/>
  <c r="I28" i="61"/>
  <c r="M29" i="61"/>
  <c r="AS29" i="61"/>
  <c r="I40" i="61"/>
  <c r="Y40" i="61"/>
  <c r="AS47" i="61"/>
  <c r="U80" i="61"/>
  <c r="U31" i="61"/>
  <c r="M37" i="61"/>
  <c r="AO51" i="61"/>
  <c r="M52" i="61"/>
  <c r="AC52" i="61"/>
  <c r="AO67" i="61"/>
  <c r="AC68" i="61"/>
  <c r="U69" i="61"/>
  <c r="AC71" i="61"/>
  <c r="Q86" i="61"/>
  <c r="U92" i="61"/>
  <c r="U30" i="61"/>
  <c r="AO32" i="61"/>
  <c r="I35" i="61"/>
  <c r="AS51" i="61"/>
  <c r="AG52" i="61"/>
  <c r="E53" i="61"/>
  <c r="M60" i="61"/>
  <c r="I66" i="61"/>
  <c r="AO69" i="61"/>
  <c r="Q71" i="61"/>
  <c r="Y80" i="61"/>
  <c r="E86" i="61"/>
  <c r="U86" i="61"/>
  <c r="AK86" i="61"/>
  <c r="I92" i="61"/>
  <c r="AO93" i="61"/>
  <c r="AK96" i="61"/>
  <c r="Y30" i="61"/>
  <c r="AS39" i="61"/>
  <c r="AC20" i="61"/>
  <c r="Y23" i="61"/>
  <c r="AK47" i="61"/>
  <c r="AC49" i="61"/>
  <c r="AK52" i="61"/>
  <c r="AC66" i="61"/>
  <c r="AS66" i="61"/>
  <c r="Q67" i="61"/>
  <c r="Y72" i="61"/>
  <c r="AO72" i="61"/>
  <c r="Q93" i="61"/>
  <c r="AG94" i="61"/>
  <c r="AK95" i="61"/>
  <c r="Y96" i="61"/>
  <c r="AO22" i="61"/>
  <c r="AC38" i="61"/>
  <c r="AG80" i="61"/>
  <c r="Y32" i="61"/>
  <c r="E60" i="61"/>
  <c r="M69" i="61"/>
  <c r="Q77" i="61"/>
  <c r="L41" i="61"/>
  <c r="AG20" i="61"/>
  <c r="E21" i="61"/>
  <c r="U21" i="61"/>
  <c r="Y22" i="61"/>
  <c r="AC23" i="61"/>
  <c r="Q24" i="61"/>
  <c r="AC27" i="61"/>
  <c r="Q28" i="61"/>
  <c r="AG28" i="61"/>
  <c r="E29" i="61"/>
  <c r="AK29" i="61"/>
  <c r="AK30" i="61"/>
  <c r="I32" i="61"/>
  <c r="U32" i="61"/>
  <c r="Q35" i="61"/>
  <c r="I36" i="61"/>
  <c r="Y36" i="61"/>
  <c r="Y37" i="61"/>
  <c r="AS38" i="61"/>
  <c r="Q39" i="61"/>
  <c r="U47" i="61"/>
  <c r="E48" i="61"/>
  <c r="M51" i="61"/>
  <c r="Y51" i="61"/>
  <c r="AS52" i="61"/>
  <c r="U56" i="61"/>
  <c r="Q57" i="61"/>
  <c r="Q59" i="61"/>
  <c r="M66" i="61"/>
  <c r="Q68" i="61"/>
  <c r="I69" i="61"/>
  <c r="AC70" i="61"/>
  <c r="Y75" i="61"/>
  <c r="AS77" i="61"/>
  <c r="Y81" i="61"/>
  <c r="AO81" i="61"/>
  <c r="AC83" i="61"/>
  <c r="I84" i="61"/>
  <c r="U85" i="61"/>
  <c r="AK85" i="61"/>
  <c r="AC93" i="61"/>
  <c r="AS93" i="61"/>
  <c r="AS94" i="61"/>
  <c r="Q95" i="61"/>
  <c r="E96" i="61"/>
  <c r="AG34" i="61"/>
  <c r="Y29" i="61"/>
  <c r="AG93" i="61"/>
  <c r="K41" i="61"/>
  <c r="J4" i="61" s="1"/>
  <c r="Q22" i="61"/>
  <c r="AG22" i="61"/>
  <c r="AC30" i="61"/>
  <c r="AG33" i="61"/>
  <c r="E34" i="61"/>
  <c r="AG51" i="61"/>
  <c r="U52" i="61"/>
  <c r="I53" i="61"/>
  <c r="I57" i="61"/>
  <c r="AK80" i="61"/>
  <c r="P97" i="61"/>
  <c r="U93" i="61"/>
  <c r="U94" i="61"/>
  <c r="M96" i="61"/>
  <c r="AO96" i="61"/>
  <c r="U68" i="61"/>
  <c r="AC36" i="61"/>
  <c r="Q66" i="61"/>
  <c r="E78" i="61"/>
  <c r="I85" i="61"/>
  <c r="E22" i="61"/>
  <c r="AK22" i="61"/>
  <c r="E23" i="61"/>
  <c r="U23" i="61"/>
  <c r="AK23" i="61"/>
  <c r="I24" i="61"/>
  <c r="E27" i="61"/>
  <c r="AO28" i="61"/>
  <c r="AC29" i="61"/>
  <c r="AS31" i="61"/>
  <c r="Q32" i="61"/>
  <c r="AG32" i="61"/>
  <c r="Y34" i="61"/>
  <c r="M35" i="61"/>
  <c r="Q36" i="61"/>
  <c r="AK37" i="61"/>
  <c r="I38" i="61"/>
  <c r="AO38" i="61"/>
  <c r="AO39" i="61"/>
  <c r="AC40" i="61"/>
  <c r="AS46" i="61"/>
  <c r="Q47" i="61"/>
  <c r="AG48" i="61"/>
  <c r="E49" i="61"/>
  <c r="Y52" i="61"/>
  <c r="AO52" i="61"/>
  <c r="E56" i="61"/>
  <c r="Q56" i="61"/>
  <c r="AC57" i="61"/>
  <c r="U66" i="61"/>
  <c r="AJ87" i="61"/>
  <c r="AS68" i="61"/>
  <c r="AK71" i="61"/>
  <c r="I72" i="61"/>
  <c r="U77" i="61"/>
  <c r="AO78" i="61"/>
  <c r="AG81" i="61"/>
  <c r="B97" i="61"/>
  <c r="B7" i="61" s="1"/>
  <c r="AH97" i="61"/>
  <c r="AH7" i="61" s="1"/>
  <c r="I93" i="61"/>
  <c r="Y94" i="61"/>
  <c r="B145" i="61"/>
  <c r="B8" i="61" s="1"/>
  <c r="U25" i="61"/>
  <c r="E35" i="61"/>
  <c r="AG39" i="61"/>
  <c r="AO49" i="61"/>
  <c r="AG27" i="61"/>
  <c r="AO29" i="61"/>
  <c r="M75" i="61"/>
  <c r="Q83" i="61"/>
  <c r="AO23" i="61"/>
  <c r="M24" i="61"/>
  <c r="I27" i="61"/>
  <c r="Q29" i="61"/>
  <c r="E32" i="61"/>
  <c r="U36" i="61"/>
  <c r="I37" i="61"/>
  <c r="M39" i="61"/>
  <c r="AB61" i="61"/>
  <c r="U49" i="61"/>
  <c r="W87" i="61"/>
  <c r="V6" i="61" s="1"/>
  <c r="AO77" i="61"/>
  <c r="M78" i="61"/>
  <c r="U81" i="61"/>
  <c r="Y83" i="61"/>
  <c r="Q85" i="61"/>
  <c r="AG85" i="61"/>
  <c r="T97" i="61"/>
  <c r="AO94" i="61"/>
  <c r="AC95" i="61"/>
  <c r="AB97" i="61"/>
  <c r="AS96" i="61"/>
  <c r="AG24" i="61"/>
  <c r="I30" i="61"/>
  <c r="U40" i="61"/>
  <c r="AG67" i="61"/>
  <c r="AS36" i="61"/>
  <c r="AG70" i="61"/>
  <c r="AO85" i="61"/>
  <c r="I70" i="61"/>
  <c r="U75" i="61"/>
  <c r="M20" i="61"/>
  <c r="AS27" i="61"/>
  <c r="AK33" i="61"/>
  <c r="Y47" i="61"/>
  <c r="I83" i="61"/>
  <c r="AR41" i="61"/>
  <c r="Q20" i="61"/>
  <c r="M21" i="61"/>
  <c r="AC21" i="61"/>
  <c r="AS21" i="61"/>
  <c r="M23" i="61"/>
  <c r="Y24" i="61"/>
  <c r="AO24" i="61"/>
  <c r="Q27" i="61"/>
  <c r="H41" i="61"/>
  <c r="AG31" i="61"/>
  <c r="AG36" i="61"/>
  <c r="Q37" i="61"/>
  <c r="Q38" i="61"/>
  <c r="Y39" i="61"/>
  <c r="I46" i="61"/>
  <c r="AS49" i="61"/>
  <c r="Q51" i="61"/>
  <c r="AC51" i="61"/>
  <c r="AG54" i="61"/>
  <c r="AO57" i="61"/>
  <c r="M59" i="61"/>
  <c r="I60" i="61"/>
  <c r="I67" i="61"/>
  <c r="Y67" i="61"/>
  <c r="AK67" i="61"/>
  <c r="AO71" i="61"/>
  <c r="E92" i="61"/>
  <c r="AN41" i="61"/>
  <c r="AC54" i="61"/>
  <c r="P41" i="61"/>
  <c r="AG19" i="61"/>
  <c r="Q21" i="61"/>
  <c r="Q23" i="61"/>
  <c r="AC24" i="61"/>
  <c r="U28" i="61"/>
  <c r="AK28" i="61"/>
  <c r="M30" i="61"/>
  <c r="AO30" i="61"/>
  <c r="AK35" i="61"/>
  <c r="U37" i="61"/>
  <c r="AF61" i="61"/>
  <c r="C61" i="61"/>
  <c r="B5" i="61" s="1"/>
  <c r="AK53" i="61"/>
  <c r="AK69" i="61"/>
  <c r="E70" i="61"/>
  <c r="M95" i="61"/>
  <c r="N145" i="61"/>
  <c r="N8" i="61" s="1"/>
  <c r="E36" i="61"/>
  <c r="AR61" i="61"/>
  <c r="M40" i="61"/>
  <c r="AG49" i="61"/>
  <c r="E57" i="61"/>
  <c r="AS71" i="61"/>
  <c r="M72" i="61"/>
  <c r="AS81" i="61"/>
  <c r="AJ97" i="61"/>
  <c r="E94" i="61"/>
  <c r="Q94" i="61"/>
  <c r="AD145" i="61"/>
  <c r="AD8" i="61" s="1"/>
  <c r="M27" i="61"/>
  <c r="AK34" i="61"/>
  <c r="M38" i="61"/>
  <c r="E20" i="61"/>
  <c r="U20" i="61"/>
  <c r="U22" i="61"/>
  <c r="E24" i="61"/>
  <c r="Q25" i="61"/>
  <c r="U27" i="61"/>
  <c r="Y28" i="61"/>
  <c r="I29" i="61"/>
  <c r="Q30" i="61"/>
  <c r="AG30" i="61"/>
  <c r="AS30" i="61"/>
  <c r="AO31" i="61"/>
  <c r="Q34" i="61"/>
  <c r="AC34" i="61"/>
  <c r="Y35" i="61"/>
  <c r="AO36" i="61"/>
  <c r="E38" i="61"/>
  <c r="Q40" i="61"/>
  <c r="E47" i="61"/>
  <c r="M48" i="61"/>
  <c r="AK49" i="61"/>
  <c r="E52" i="61"/>
  <c r="Q52" i="61"/>
  <c r="U57" i="61"/>
  <c r="D87" i="61"/>
  <c r="M68" i="61"/>
  <c r="Y68" i="61"/>
  <c r="E75" i="61"/>
  <c r="Q75" i="61"/>
  <c r="M77" i="61"/>
  <c r="Y77" i="61"/>
  <c r="E85" i="61"/>
  <c r="AK92" i="61"/>
  <c r="AP145" i="61"/>
  <c r="AH145" i="61"/>
  <c r="AH8" i="61" s="1"/>
  <c r="AL145" i="61"/>
  <c r="AL8" i="61" s="1"/>
  <c r="R145" i="61"/>
  <c r="F145" i="61"/>
  <c r="M19" i="61"/>
  <c r="AO70" i="61"/>
  <c r="W41" i="61"/>
  <c r="V4" i="61" s="1"/>
  <c r="Y27" i="61"/>
  <c r="U33" i="61"/>
  <c r="AS35" i="61"/>
  <c r="E40" i="61"/>
  <c r="M54" i="61"/>
  <c r="Y54" i="61"/>
  <c r="AF87" i="61"/>
  <c r="AC86" i="61"/>
  <c r="AO92" i="61"/>
  <c r="AQ41" i="61"/>
  <c r="AP4" i="61" s="1"/>
  <c r="Y21" i="61"/>
  <c r="AC46" i="61"/>
  <c r="AS48" i="61"/>
  <c r="AO19" i="61"/>
  <c r="AK20" i="61"/>
  <c r="I21" i="61"/>
  <c r="AO21" i="61"/>
  <c r="I23" i="61"/>
  <c r="AK24" i="61"/>
  <c r="E26" i="61"/>
  <c r="AS28" i="61"/>
  <c r="U34" i="61"/>
  <c r="AC37" i="61"/>
  <c r="AO37" i="61"/>
  <c r="Y38" i="61"/>
  <c r="AK38" i="61"/>
  <c r="AK39" i="61"/>
  <c r="M49" i="61"/>
  <c r="AS53" i="61"/>
  <c r="AO54" i="61"/>
  <c r="Y57" i="61"/>
  <c r="AK57" i="61"/>
  <c r="H87" i="61"/>
  <c r="E67" i="61"/>
  <c r="M70" i="61"/>
  <c r="I71" i="61"/>
  <c r="Q72" i="61"/>
  <c r="AG72" i="61"/>
  <c r="AS72" i="61"/>
  <c r="AK81" i="61"/>
  <c r="U83" i="61"/>
  <c r="M84" i="61"/>
  <c r="AG86" i="61"/>
  <c r="M93" i="61"/>
  <c r="AK94" i="61"/>
  <c r="E95" i="61"/>
  <c r="AB41" i="61"/>
  <c r="X41" i="61"/>
  <c r="AA61" i="61"/>
  <c r="AN61" i="61"/>
  <c r="X61" i="61"/>
  <c r="AR87" i="61"/>
  <c r="T87" i="61"/>
  <c r="AP97" i="61"/>
  <c r="R97" i="61"/>
  <c r="U95" i="61"/>
  <c r="D61" i="61"/>
  <c r="E46" i="61"/>
  <c r="AI87" i="61"/>
  <c r="AK66" i="61"/>
  <c r="AE87" i="61"/>
  <c r="C41" i="61"/>
  <c r="AI41" i="61"/>
  <c r="O61" i="61"/>
  <c r="D41" i="61"/>
  <c r="O41" i="61"/>
  <c r="Y19" i="61"/>
  <c r="AJ41" i="61"/>
  <c r="I31" i="61"/>
  <c r="I33" i="61"/>
  <c r="AO34" i="61"/>
  <c r="AF41" i="61"/>
  <c r="P61" i="61"/>
  <c r="AQ61" i="61"/>
  <c r="M57" i="61"/>
  <c r="G87" i="61"/>
  <c r="S87" i="61"/>
  <c r="AS67" i="61"/>
  <c r="AS85" i="61"/>
  <c r="AA87" i="61"/>
  <c r="D97" i="61"/>
  <c r="E97" i="61" s="1"/>
  <c r="AF97" i="61"/>
  <c r="AS92" i="61"/>
  <c r="AR97" i="61"/>
  <c r="AG96" i="61"/>
  <c r="H61" i="61"/>
  <c r="T61" i="61"/>
  <c r="K87" i="61"/>
  <c r="X87" i="61"/>
  <c r="Y87" i="61" s="1"/>
  <c r="AM87" i="61"/>
  <c r="Y92" i="61"/>
  <c r="V97" i="61"/>
  <c r="AD97" i="61"/>
  <c r="G41" i="61"/>
  <c r="U46" i="61"/>
  <c r="S61" i="61"/>
  <c r="AM61" i="61"/>
  <c r="I96" i="61"/>
  <c r="F97" i="61"/>
  <c r="I19" i="61"/>
  <c r="T41" i="61"/>
  <c r="AE41" i="61"/>
  <c r="M28" i="61"/>
  <c r="I34" i="61"/>
  <c r="AC35" i="61"/>
  <c r="S41" i="61"/>
  <c r="K61" i="61"/>
  <c r="W61" i="61"/>
  <c r="M53" i="61"/>
  <c r="Y56" i="61"/>
  <c r="G61" i="61"/>
  <c r="L87" i="61"/>
  <c r="AN87" i="61"/>
  <c r="AS70" i="61"/>
  <c r="M83" i="61"/>
  <c r="J97" i="61"/>
  <c r="X97" i="61"/>
  <c r="AK93" i="61"/>
  <c r="AN97" i="61"/>
  <c r="AO95" i="61"/>
  <c r="AM41" i="61"/>
  <c r="AE61" i="61"/>
  <c r="L61" i="61"/>
  <c r="AJ61" i="61"/>
  <c r="AK46" i="61"/>
  <c r="AB87" i="61"/>
  <c r="M67" i="61"/>
  <c r="M85" i="61"/>
  <c r="M92" i="61"/>
  <c r="L97" i="61"/>
  <c r="Z97" i="61"/>
  <c r="AC92" i="61"/>
  <c r="AS95" i="61"/>
  <c r="V145" i="61"/>
  <c r="J145" i="61"/>
  <c r="AA41" i="61"/>
  <c r="H97" i="61"/>
  <c r="I95" i="61"/>
  <c r="Q19" i="61"/>
  <c r="AG29" i="61"/>
  <c r="AO46" i="61"/>
  <c r="Q48" i="61"/>
  <c r="AK51" i="61"/>
  <c r="Q60" i="61"/>
  <c r="C87" i="61"/>
  <c r="E66" i="61"/>
  <c r="O87" i="61"/>
  <c r="AQ87" i="61"/>
  <c r="Y69" i="61"/>
  <c r="U78" i="61"/>
  <c r="AO80" i="61"/>
  <c r="P87" i="61"/>
  <c r="N97" i="61"/>
  <c r="Z145" i="61"/>
  <c r="Y66" i="61"/>
  <c r="Q92" i="61"/>
  <c r="AG46" i="61"/>
  <c r="AC96" i="61"/>
  <c r="AL97" i="61"/>
  <c r="H455" i="59"/>
  <c r="AH98" i="61" l="1"/>
  <c r="R146" i="61"/>
  <c r="AD146" i="61"/>
  <c r="AK61" i="61"/>
  <c r="AH146" i="61"/>
  <c r="M41" i="61"/>
  <c r="AK97" i="61"/>
  <c r="AD14" i="61"/>
  <c r="F14" i="61"/>
  <c r="R8" i="61"/>
  <c r="AL146" i="61"/>
  <c r="AS41" i="61"/>
  <c r="AP14" i="61"/>
  <c r="AP146" i="61"/>
  <c r="AP8" i="61"/>
  <c r="AQ42" i="61"/>
  <c r="F146" i="61"/>
  <c r="F8" i="61"/>
  <c r="E61" i="61"/>
  <c r="N14" i="61"/>
  <c r="AL14" i="61"/>
  <c r="J14" i="61"/>
  <c r="B14" i="61"/>
  <c r="AD4" i="61"/>
  <c r="AG41" i="61"/>
  <c r="AE42" i="61"/>
  <c r="R14" i="61"/>
  <c r="I41" i="61"/>
  <c r="G42" i="61"/>
  <c r="F4" i="61"/>
  <c r="AC87" i="61"/>
  <c r="AA88" i="61"/>
  <c r="Z6" i="61"/>
  <c r="Q61" i="61"/>
  <c r="O62" i="61"/>
  <c r="N5" i="61"/>
  <c r="Y61" i="61"/>
  <c r="W62" i="61"/>
  <c r="V5" i="61"/>
  <c r="J146" i="61"/>
  <c r="J8" i="61"/>
  <c r="AE62" i="61"/>
  <c r="AG61" i="61"/>
  <c r="AD5" i="61"/>
  <c r="K62" i="61"/>
  <c r="M61" i="61"/>
  <c r="J5" i="61"/>
  <c r="Y97" i="61"/>
  <c r="V7" i="61"/>
  <c r="V98" i="61"/>
  <c r="E41" i="61"/>
  <c r="B4" i="61"/>
  <c r="R98" i="61"/>
  <c r="U97" i="61"/>
  <c r="R7" i="61"/>
  <c r="V14" i="61"/>
  <c r="AD98" i="61"/>
  <c r="AG97" i="61"/>
  <c r="AD7" i="61"/>
  <c r="AK41" i="61"/>
  <c r="AI42" i="61"/>
  <c r="AH4" i="61"/>
  <c r="V146" i="61"/>
  <c r="V8" i="61"/>
  <c r="AO41" i="61"/>
  <c r="AM42" i="61"/>
  <c r="AL4" i="61"/>
  <c r="S42" i="61"/>
  <c r="U41" i="61"/>
  <c r="R4" i="61"/>
  <c r="F98" i="61"/>
  <c r="I97" i="61"/>
  <c r="F7" i="61"/>
  <c r="S88" i="61"/>
  <c r="U87" i="61"/>
  <c r="R6" i="61"/>
  <c r="AE88" i="61"/>
  <c r="AG87" i="61"/>
  <c r="AD6" i="61"/>
  <c r="AP98" i="61"/>
  <c r="AS97" i="61"/>
  <c r="AP7" i="61"/>
  <c r="Z14" i="61"/>
  <c r="W88" i="61"/>
  <c r="Y41" i="61"/>
  <c r="J98" i="61"/>
  <c r="M97" i="61"/>
  <c r="J7" i="61"/>
  <c r="AA62" i="61"/>
  <c r="AC61" i="61"/>
  <c r="Z5" i="61"/>
  <c r="Z146" i="61"/>
  <c r="Z8" i="61"/>
  <c r="AI62" i="61"/>
  <c r="AM88" i="61"/>
  <c r="AO87" i="61"/>
  <c r="AL6" i="61"/>
  <c r="G88" i="61"/>
  <c r="F6" i="61"/>
  <c r="I87" i="61"/>
  <c r="AH14" i="61"/>
  <c r="W42" i="61"/>
  <c r="O88" i="61"/>
  <c r="Q87" i="61"/>
  <c r="N6" i="61"/>
  <c r="N98" i="61"/>
  <c r="Q97" i="61"/>
  <c r="N7" i="61"/>
  <c r="B6" i="61"/>
  <c r="E87" i="61"/>
  <c r="AM62" i="61"/>
  <c r="AO61" i="61"/>
  <c r="AL5" i="61"/>
  <c r="AI88" i="61"/>
  <c r="AK87" i="61"/>
  <c r="AH6" i="61"/>
  <c r="AA42" i="61"/>
  <c r="Z4" i="61"/>
  <c r="AC41" i="61"/>
  <c r="AS87" i="61"/>
  <c r="AQ88" i="61"/>
  <c r="AP6" i="61"/>
  <c r="N146" i="61"/>
  <c r="AL98" i="61"/>
  <c r="AL7" i="61"/>
  <c r="AO97" i="61"/>
  <c r="AC97" i="61"/>
  <c r="Z98" i="61"/>
  <c r="Z7" i="61"/>
  <c r="G62" i="61"/>
  <c r="I61" i="61"/>
  <c r="F5" i="61"/>
  <c r="U61" i="61"/>
  <c r="S62" i="61"/>
  <c r="R5" i="61"/>
  <c r="M87" i="61"/>
  <c r="K88" i="61"/>
  <c r="J6" i="61"/>
  <c r="AQ62" i="61"/>
  <c r="AS61" i="61"/>
  <c r="AP5" i="61"/>
  <c r="O42" i="61"/>
  <c r="Q41" i="61"/>
  <c r="N4" i="61"/>
  <c r="K42" i="61"/>
  <c r="AP9" i="61" l="1"/>
  <c r="J15" i="61"/>
  <c r="AP15" i="61"/>
  <c r="V15" i="61"/>
  <c r="F15" i="61"/>
  <c r="F9" i="61"/>
  <c r="B15" i="61"/>
  <c r="B9" i="61"/>
  <c r="N9" i="61"/>
  <c r="N15" i="61"/>
  <c r="Z15" i="61"/>
  <c r="Z9" i="61"/>
  <c r="V9" i="61"/>
  <c r="J9" i="61"/>
  <c r="J11" i="61" s="1"/>
  <c r="J12" i="61" s="1"/>
  <c r="AL9" i="61"/>
  <c r="AP11" i="61" s="1"/>
  <c r="AP12" i="61" s="1"/>
  <c r="AL15" i="61"/>
  <c r="R9" i="61"/>
  <c r="R11" i="61" s="1"/>
  <c r="R12" i="61" s="1"/>
  <c r="R15" i="61"/>
  <c r="AH15" i="61"/>
  <c r="AH9" i="61"/>
  <c r="AD15" i="61"/>
  <c r="AD9" i="61"/>
  <c r="N11" i="61" l="1"/>
  <c r="N12" i="61" s="1"/>
  <c r="AH11" i="61"/>
  <c r="AH12" i="61" s="1"/>
  <c r="Z11" i="61"/>
  <c r="Z12" i="61" s="1"/>
  <c r="AL11" i="61"/>
  <c r="AL12" i="61" s="1"/>
  <c r="AD11" i="61"/>
  <c r="AD12" i="61" s="1"/>
  <c r="F11" i="61"/>
  <c r="F12" i="61" s="1"/>
  <c r="V11" i="61"/>
  <c r="V12" i="61" s="1"/>
  <c r="M657" i="58" l="1"/>
  <c r="M634" i="58"/>
  <c r="M611" i="58"/>
  <c r="M584" i="58"/>
  <c r="M551" i="58"/>
  <c r="M547" i="58"/>
  <c r="M521" i="58"/>
  <c r="M519" i="58"/>
  <c r="M473" i="58"/>
  <c r="M460" i="58"/>
  <c r="M456" i="58"/>
  <c r="M413" i="58"/>
  <c r="M396" i="58"/>
  <c r="M372" i="58"/>
  <c r="M363" i="58"/>
  <c r="M276" i="58"/>
  <c r="M243" i="58"/>
  <c r="M227" i="58"/>
  <c r="M220" i="58"/>
  <c r="M216" i="58"/>
  <c r="M211" i="58"/>
  <c r="M209" i="58"/>
  <c r="M190" i="58"/>
  <c r="M188" i="58"/>
  <c r="M186" i="58"/>
  <c r="M184" i="58"/>
  <c r="M182" i="58"/>
  <c r="M173" i="58"/>
  <c r="M99" i="58"/>
  <c r="M97" i="58"/>
  <c r="M9" i="58"/>
  <c r="M7" i="58"/>
  <c r="M5" i="58"/>
  <c r="M660" i="58" l="1"/>
  <c r="M661" i="58" s="1"/>
  <c r="M654" i="58"/>
  <c r="M655" i="58" s="1"/>
  <c r="M652" i="58"/>
  <c r="M653" i="58" s="1"/>
  <c r="M635" i="58"/>
  <c r="M636" i="58" s="1"/>
  <c r="M599" i="58"/>
  <c r="M598" i="58"/>
  <c r="M597" i="58"/>
  <c r="M596" i="58"/>
  <c r="M595" i="58"/>
  <c r="M594" i="58"/>
  <c r="M593" i="58"/>
  <c r="M581" i="58"/>
  <c r="M580" i="58"/>
  <c r="M579" i="58"/>
  <c r="M578" i="58"/>
  <c r="M577" i="58"/>
  <c r="M576" i="58"/>
  <c r="M575" i="58"/>
  <c r="M574" i="58"/>
  <c r="M573" i="58"/>
  <c r="M572" i="58"/>
  <c r="M571" i="58"/>
  <c r="M570" i="58"/>
  <c r="M569" i="58"/>
  <c r="M568" i="58"/>
  <c r="M567" i="58"/>
  <c r="M566" i="58"/>
  <c r="M565" i="58"/>
  <c r="M541" i="58"/>
  <c r="M540" i="58"/>
  <c r="M539" i="58"/>
  <c r="M538" i="58"/>
  <c r="M537" i="58"/>
  <c r="M536" i="58"/>
  <c r="M535" i="58"/>
  <c r="M516" i="58"/>
  <c r="M515" i="58"/>
  <c r="M514" i="58"/>
  <c r="M513" i="58"/>
  <c r="M512" i="58"/>
  <c r="M490" i="58"/>
  <c r="M489" i="58"/>
  <c r="M488" i="58"/>
  <c r="M463" i="58"/>
  <c r="M462" i="58"/>
  <c r="M461" i="58"/>
  <c r="M457" i="58"/>
  <c r="M458" i="58" s="1"/>
  <c r="M453" i="58"/>
  <c r="M454" i="58" s="1"/>
  <c r="M441" i="58"/>
  <c r="M440" i="58"/>
  <c r="M439" i="58"/>
  <c r="M438" i="58"/>
  <c r="M437" i="58"/>
  <c r="M436" i="58"/>
  <c r="M435" i="58"/>
  <c r="M416" i="58"/>
  <c r="M417" i="58" s="1"/>
  <c r="M389" i="58"/>
  <c r="M390" i="58" s="1"/>
  <c r="M383" i="58"/>
  <c r="M384" i="58" s="1"/>
  <c r="M381" i="58"/>
  <c r="M382" i="58" s="1"/>
  <c r="M368" i="58"/>
  <c r="M369" i="58" s="1"/>
  <c r="M360" i="58"/>
  <c r="M359" i="58"/>
  <c r="M357" i="58"/>
  <c r="M356" i="58"/>
  <c r="M353" i="58"/>
  <c r="M352" i="58"/>
  <c r="M351" i="58"/>
  <c r="M350" i="58"/>
  <c r="M349" i="58"/>
  <c r="M348" i="58"/>
  <c r="M347" i="58"/>
  <c r="M346" i="58"/>
  <c r="M345" i="58"/>
  <c r="M344" i="58"/>
  <c r="M343" i="58"/>
  <c r="M323" i="58"/>
  <c r="M322" i="58"/>
  <c r="M321" i="58"/>
  <c r="M320" i="58"/>
  <c r="M319" i="58"/>
  <c r="M318" i="58"/>
  <c r="M317" i="58"/>
  <c r="M316" i="58"/>
  <c r="M315" i="58"/>
  <c r="M314" i="58"/>
  <c r="M313" i="58"/>
  <c r="M312" i="58"/>
  <c r="M311" i="58"/>
  <c r="M310" i="58"/>
  <c r="M309" i="58"/>
  <c r="M308" i="58"/>
  <c r="M307" i="58"/>
  <c r="M306" i="58"/>
  <c r="M305" i="58"/>
  <c r="M304" i="58"/>
  <c r="M303" i="58"/>
  <c r="M302" i="58"/>
  <c r="M301" i="58"/>
  <c r="M300" i="58"/>
  <c r="M299" i="58"/>
  <c r="M298" i="58"/>
  <c r="M297" i="58"/>
  <c r="M296" i="58"/>
  <c r="M295" i="58"/>
  <c r="M294" i="58"/>
  <c r="M293" i="58"/>
  <c r="M292" i="58"/>
  <c r="M291" i="58"/>
  <c r="M290" i="58"/>
  <c r="M289" i="58"/>
  <c r="M288" i="58"/>
  <c r="M287" i="58"/>
  <c r="M286" i="58"/>
  <c r="M285" i="58"/>
  <c r="M261" i="58"/>
  <c r="M262" i="58" s="1"/>
  <c r="M248" i="58"/>
  <c r="M249" i="58" s="1"/>
  <c r="M238" i="58"/>
  <c r="M239" i="58" s="1"/>
  <c r="M223" i="58"/>
  <c r="M222" i="58"/>
  <c r="M200" i="58"/>
  <c r="M199" i="58"/>
  <c r="M198" i="58"/>
  <c r="M176" i="58"/>
  <c r="M177" i="58" s="1"/>
  <c r="M170" i="58"/>
  <c r="M169" i="58"/>
  <c r="M161" i="58"/>
  <c r="M162" i="58" s="1"/>
  <c r="M140" i="58"/>
  <c r="M141" i="58" s="1"/>
  <c r="M123" i="58"/>
  <c r="M122" i="58"/>
  <c r="M121" i="58"/>
  <c r="M120" i="58"/>
  <c r="M119" i="58"/>
  <c r="M92" i="58"/>
  <c r="M91" i="58"/>
  <c r="M90" i="58"/>
  <c r="M89" i="58"/>
  <c r="M88" i="58"/>
  <c r="M87" i="58"/>
  <c r="M86" i="58"/>
  <c r="M70" i="58"/>
  <c r="M69" i="58"/>
  <c r="M68" i="58"/>
  <c r="M67" i="58"/>
  <c r="M66" i="58"/>
  <c r="M65" i="58"/>
  <c r="M49" i="58"/>
  <c r="M48" i="58"/>
  <c r="M47" i="58"/>
  <c r="M46" i="58"/>
  <c r="M45" i="58"/>
  <c r="M44" i="58"/>
  <c r="M28" i="58"/>
  <c r="M27" i="58"/>
  <c r="M26" i="58"/>
  <c r="S40" i="56"/>
  <c r="Z39" i="56" s="1"/>
  <c r="Y32" i="56"/>
  <c r="Y31" i="56"/>
  <c r="Y30" i="56"/>
  <c r="Y29" i="56"/>
  <c r="G32" i="56"/>
  <c r="F32" i="56"/>
  <c r="E32" i="56"/>
  <c r="G31" i="56"/>
  <c r="F31" i="56"/>
  <c r="E31" i="56"/>
  <c r="G30" i="56"/>
  <c r="F30" i="56"/>
  <c r="E30" i="56"/>
  <c r="G29" i="56"/>
  <c r="F29" i="56"/>
  <c r="E29" i="56"/>
  <c r="K29" i="56" s="1"/>
  <c r="T25" i="56"/>
  <c r="T24" i="56"/>
  <c r="R22" i="56"/>
  <c r="N22" i="56"/>
  <c r="Q22" i="56" s="1"/>
  <c r="R21" i="56"/>
  <c r="Q21" i="56"/>
  <c r="N21" i="56"/>
  <c r="O21" i="56" s="1"/>
  <c r="R20" i="56"/>
  <c r="N20" i="56"/>
  <c r="Q20" i="56" s="1"/>
  <c r="R19" i="56"/>
  <c r="N19" i="56"/>
  <c r="Q19" i="56" s="1"/>
  <c r="R18" i="56"/>
  <c r="N18" i="56"/>
  <c r="Q18" i="56" s="1"/>
  <c r="R17" i="56"/>
  <c r="N17" i="56"/>
  <c r="Q17" i="56" s="1"/>
  <c r="R16" i="56"/>
  <c r="N16" i="56"/>
  <c r="O16" i="56" s="1"/>
  <c r="R15" i="56"/>
  <c r="N15" i="56"/>
  <c r="Q15" i="56" s="1"/>
  <c r="R14" i="56"/>
  <c r="N14" i="56"/>
  <c r="Q14" i="56" s="1"/>
  <c r="R13" i="56"/>
  <c r="N13" i="56"/>
  <c r="O13" i="56" s="1"/>
  <c r="R12" i="56"/>
  <c r="N12" i="56"/>
  <c r="Q12" i="56" s="1"/>
  <c r="R11" i="56"/>
  <c r="N11" i="56"/>
  <c r="Q11" i="56" s="1"/>
  <c r="R10" i="56"/>
  <c r="N10" i="56"/>
  <c r="Q10" i="56" s="1"/>
  <c r="R9" i="56"/>
  <c r="N9" i="56"/>
  <c r="Q9" i="56" s="1"/>
  <c r="R8" i="56"/>
  <c r="N8" i="56"/>
  <c r="O8" i="56" s="1"/>
  <c r="R7" i="56"/>
  <c r="N7" i="56"/>
  <c r="Q7" i="56" s="1"/>
  <c r="R6" i="56"/>
  <c r="N6" i="56"/>
  <c r="Q6" i="56" s="1"/>
  <c r="R5" i="56"/>
  <c r="N5" i="56"/>
  <c r="O5" i="56" s="1"/>
  <c r="R4" i="56"/>
  <c r="N4" i="56"/>
  <c r="Q4" i="56" s="1"/>
  <c r="R3" i="56"/>
  <c r="N3" i="56"/>
  <c r="Q3" i="56" s="1"/>
  <c r="G22" i="56"/>
  <c r="F22" i="56"/>
  <c r="E22" i="56"/>
  <c r="G21" i="56"/>
  <c r="F21" i="56"/>
  <c r="E21" i="56"/>
  <c r="G20" i="56"/>
  <c r="F20" i="56"/>
  <c r="E20" i="56"/>
  <c r="G19" i="56"/>
  <c r="F19" i="56"/>
  <c r="E19" i="56"/>
  <c r="G18" i="56"/>
  <c r="F18" i="56"/>
  <c r="E18" i="56"/>
  <c r="G17" i="56"/>
  <c r="F17" i="56"/>
  <c r="E17" i="56"/>
  <c r="G16" i="56"/>
  <c r="F16" i="56"/>
  <c r="E16" i="56"/>
  <c r="G15" i="56"/>
  <c r="F15" i="56"/>
  <c r="E15" i="56"/>
  <c r="G14" i="56"/>
  <c r="F14" i="56"/>
  <c r="E14" i="56"/>
  <c r="G13" i="56"/>
  <c r="F13" i="56"/>
  <c r="E13" i="56"/>
  <c r="G12" i="56"/>
  <c r="F12" i="56"/>
  <c r="E12" i="56"/>
  <c r="G11" i="56"/>
  <c r="F11" i="56"/>
  <c r="E11" i="56"/>
  <c r="G10" i="56"/>
  <c r="F10" i="56"/>
  <c r="E10" i="56"/>
  <c r="G9" i="56"/>
  <c r="F9" i="56"/>
  <c r="E9" i="56"/>
  <c r="G8" i="56"/>
  <c r="F8" i="56"/>
  <c r="E8" i="56"/>
  <c r="G7" i="56"/>
  <c r="F7" i="56"/>
  <c r="E7" i="56"/>
  <c r="G6" i="56"/>
  <c r="F6" i="56"/>
  <c r="E6" i="56"/>
  <c r="G5" i="56"/>
  <c r="F5" i="56"/>
  <c r="E5" i="56"/>
  <c r="J5" i="56" s="1"/>
  <c r="G4" i="56"/>
  <c r="F4" i="56"/>
  <c r="E4" i="56"/>
  <c r="G3" i="56"/>
  <c r="F3" i="56"/>
  <c r="E3" i="56"/>
  <c r="Y22" i="56"/>
  <c r="Y21" i="56"/>
  <c r="Y20" i="56"/>
  <c r="Y19" i="56"/>
  <c r="Y18" i="56"/>
  <c r="Y17" i="56"/>
  <c r="Y16" i="56"/>
  <c r="Y15" i="56"/>
  <c r="Y14" i="56"/>
  <c r="Y13" i="56"/>
  <c r="Y12" i="56"/>
  <c r="Y11" i="56"/>
  <c r="Y10" i="56"/>
  <c r="Y9" i="56"/>
  <c r="Y8" i="56"/>
  <c r="Y7" i="56"/>
  <c r="Y6" i="56"/>
  <c r="Y5" i="56"/>
  <c r="Y4" i="56"/>
  <c r="Y3" i="56"/>
  <c r="K4" i="56" l="1"/>
  <c r="K5" i="56"/>
  <c r="J10" i="56"/>
  <c r="L12" i="56"/>
  <c r="K18" i="56"/>
  <c r="K20" i="56"/>
  <c r="O18" i="56"/>
  <c r="P18" i="56" s="1"/>
  <c r="M361" i="58"/>
  <c r="M124" i="58"/>
  <c r="J8" i="56"/>
  <c r="J29" i="56"/>
  <c r="S29" i="56" s="1"/>
  <c r="J7" i="56"/>
  <c r="L15" i="56"/>
  <c r="J19" i="56"/>
  <c r="J30" i="56"/>
  <c r="M50" i="58"/>
  <c r="M224" i="58"/>
  <c r="M442" i="58"/>
  <c r="M491" i="58"/>
  <c r="M464" i="58"/>
  <c r="M171" i="58"/>
  <c r="M354" i="58"/>
  <c r="M542" i="58"/>
  <c r="M600" i="58"/>
  <c r="M582" i="58"/>
  <c r="M93" i="58"/>
  <c r="M29" i="58"/>
  <c r="M201" i="58"/>
  <c r="M324" i="58"/>
  <c r="M71" i="58"/>
  <c r="M358" i="58"/>
  <c r="M517" i="58"/>
  <c r="Z38" i="56"/>
  <c r="L18" i="56"/>
  <c r="J13" i="56"/>
  <c r="L21" i="56"/>
  <c r="P21" i="56" s="1"/>
  <c r="L7" i="56"/>
  <c r="Q8" i="56"/>
  <c r="L8" i="56"/>
  <c r="P8" i="56" s="1"/>
  <c r="J16" i="56"/>
  <c r="K10" i="56"/>
  <c r="Q5" i="56"/>
  <c r="K31" i="56"/>
  <c r="K3" i="56"/>
  <c r="L13" i="56"/>
  <c r="P13" i="56" s="1"/>
  <c r="L5" i="56"/>
  <c r="S5" i="56" s="1"/>
  <c r="Z5" i="56" s="1"/>
  <c r="L6" i="56"/>
  <c r="J11" i="56"/>
  <c r="J14" i="56"/>
  <c r="L16" i="56"/>
  <c r="P16" i="56" s="1"/>
  <c r="K19" i="56"/>
  <c r="K22" i="56"/>
  <c r="J20" i="56"/>
  <c r="K30" i="56"/>
  <c r="L9" i="56"/>
  <c r="L17" i="56"/>
  <c r="K32" i="56"/>
  <c r="J31" i="56"/>
  <c r="J32" i="56"/>
  <c r="S32" i="56" s="1"/>
  <c r="K16" i="56"/>
  <c r="K8" i="56"/>
  <c r="L4" i="56"/>
  <c r="K7" i="56"/>
  <c r="S7" i="56" s="1"/>
  <c r="Z7" i="56" s="1"/>
  <c r="K13" i="56"/>
  <c r="J22" i="56"/>
  <c r="L11" i="56"/>
  <c r="K11" i="56"/>
  <c r="K14" i="56"/>
  <c r="Q16" i="56"/>
  <c r="J3" i="56"/>
  <c r="J6" i="56"/>
  <c r="J12" i="56"/>
  <c r="L14" i="56"/>
  <c r="K17" i="56"/>
  <c r="L20" i="56"/>
  <c r="L3" i="56"/>
  <c r="O10" i="56"/>
  <c r="Q13" i="56"/>
  <c r="L19" i="56"/>
  <c r="L22" i="56"/>
  <c r="J17" i="56"/>
  <c r="K6" i="56"/>
  <c r="J9" i="56"/>
  <c r="K12" i="56"/>
  <c r="J15" i="56"/>
  <c r="J21" i="56"/>
  <c r="S21" i="56" s="1"/>
  <c r="J4" i="56"/>
  <c r="S4" i="56" s="1"/>
  <c r="Z4" i="56" s="1"/>
  <c r="K9" i="56"/>
  <c r="K15" i="56"/>
  <c r="J18" i="56"/>
  <c r="S18" i="56" s="1"/>
  <c r="K21" i="56"/>
  <c r="L10" i="56"/>
  <c r="O15" i="56"/>
  <c r="P15" i="56" s="1"/>
  <c r="O12" i="56"/>
  <c r="P12" i="56" s="1"/>
  <c r="O9" i="56"/>
  <c r="O17" i="56"/>
  <c r="O7" i="56"/>
  <c r="P7" i="56" s="1"/>
  <c r="O4" i="56"/>
  <c r="P4" i="56" s="1"/>
  <c r="O20" i="56"/>
  <c r="O6" i="56"/>
  <c r="O14" i="56"/>
  <c r="P14" i="56" s="1"/>
  <c r="O22" i="56"/>
  <c r="O3" i="56"/>
  <c r="O11" i="56"/>
  <c r="O19" i="56"/>
  <c r="P20" i="56" l="1"/>
  <c r="S8" i="56"/>
  <c r="Z8" i="56" s="1"/>
  <c r="P5" i="56"/>
  <c r="S30" i="56"/>
  <c r="S12" i="56"/>
  <c r="Z12" i="56" s="1"/>
  <c r="S10" i="56"/>
  <c r="Z10" i="56" s="1"/>
  <c r="M662" i="58"/>
  <c r="S33" i="56"/>
  <c r="B30" i="57" s="1"/>
  <c r="P6" i="56"/>
  <c r="S19" i="56"/>
  <c r="S20" i="56"/>
  <c r="S13" i="56"/>
  <c r="Z13" i="56" s="1"/>
  <c r="S31" i="56"/>
  <c r="S11" i="56"/>
  <c r="Z11" i="56" s="1"/>
  <c r="S16" i="56"/>
  <c r="S3" i="56"/>
  <c r="S15" i="56"/>
  <c r="Z15" i="56" s="1"/>
  <c r="P10" i="56"/>
  <c r="S14" i="56"/>
  <c r="Z14" i="56" s="1"/>
  <c r="P17" i="56"/>
  <c r="S6" i="56"/>
  <c r="Z6" i="56" s="1"/>
  <c r="P11" i="56"/>
  <c r="P3" i="56"/>
  <c r="P9" i="56"/>
  <c r="P19" i="56"/>
  <c r="P22" i="56"/>
  <c r="S9" i="56"/>
  <c r="Z9" i="56" s="1"/>
  <c r="S17" i="56"/>
  <c r="S22" i="56"/>
  <c r="S25" i="56" l="1"/>
  <c r="U25" i="56" s="1"/>
  <c r="S24" i="56"/>
  <c r="U24" i="56" s="1"/>
  <c r="Z3" i="56"/>
  <c r="C219" i="55" l="1"/>
  <c r="B26" i="51" s="1"/>
  <c r="C210" i="55"/>
  <c r="B24" i="50" s="1"/>
  <c r="C200" i="55"/>
  <c r="B29" i="47" s="1"/>
  <c r="C181" i="55"/>
  <c r="B29" i="45" s="1"/>
  <c r="C168" i="55"/>
  <c r="B32" i="44" s="1"/>
  <c r="C161" i="55"/>
  <c r="B12" i="43" s="1"/>
  <c r="C154" i="55"/>
  <c r="B25" i="38" s="1"/>
  <c r="C146" i="55"/>
  <c r="B24" i="34" s="1"/>
  <c r="C139" i="55"/>
  <c r="B23" i="31" s="1"/>
  <c r="C129" i="55"/>
  <c r="B29" i="30" s="1"/>
  <c r="C118" i="55"/>
  <c r="B22" i="26" s="1"/>
  <c r="C109" i="55"/>
  <c r="B18" i="25" s="1"/>
  <c r="C101" i="55"/>
  <c r="B39" i="21" s="1"/>
  <c r="C88" i="55"/>
  <c r="B32" i="18" s="1"/>
  <c r="C75" i="55"/>
  <c r="B26" i="17" s="1"/>
  <c r="C55" i="55"/>
  <c r="B28" i="16" s="1"/>
  <c r="C45" i="55"/>
  <c r="B26" i="13" s="1"/>
  <c r="C34" i="55"/>
  <c r="B26" i="12" s="1"/>
  <c r="C19" i="55"/>
  <c r="B22" i="11" s="1"/>
  <c r="C12" i="55"/>
  <c r="B19" i="10" s="1"/>
  <c r="J5" i="55"/>
  <c r="J6" i="55"/>
  <c r="J7" i="55"/>
  <c r="J8" i="55"/>
  <c r="J9" i="55"/>
  <c r="J10" i="55"/>
  <c r="J11" i="55"/>
  <c r="J13" i="55"/>
  <c r="J14" i="55"/>
  <c r="J15" i="55"/>
  <c r="J16" i="55"/>
  <c r="J17" i="55"/>
  <c r="J18" i="55"/>
  <c r="J20" i="55"/>
  <c r="J21" i="55"/>
  <c r="J22" i="55"/>
  <c r="J23" i="55"/>
  <c r="J24" i="55"/>
  <c r="J25" i="55"/>
  <c r="J26" i="55"/>
  <c r="J27" i="55"/>
  <c r="J28" i="55"/>
  <c r="J29" i="55"/>
  <c r="J30" i="55"/>
  <c r="J31" i="55"/>
  <c r="J32" i="55"/>
  <c r="J33" i="55"/>
  <c r="J35" i="55"/>
  <c r="J36" i="55"/>
  <c r="J37" i="55"/>
  <c r="J38" i="55"/>
  <c r="J39" i="55"/>
  <c r="J40" i="55"/>
  <c r="J41" i="55"/>
  <c r="J42" i="55"/>
  <c r="J43" i="55"/>
  <c r="J44" i="55"/>
  <c r="J46" i="55"/>
  <c r="J47" i="55"/>
  <c r="J48" i="55"/>
  <c r="J49" i="55"/>
  <c r="J50" i="55"/>
  <c r="J51" i="55"/>
  <c r="J52" i="55"/>
  <c r="J53" i="55"/>
  <c r="J54" i="55"/>
  <c r="J56" i="55"/>
  <c r="J57" i="55"/>
  <c r="J58" i="55"/>
  <c r="J59" i="55"/>
  <c r="J60" i="55"/>
  <c r="J61" i="55"/>
  <c r="J62" i="55"/>
  <c r="J63" i="55"/>
  <c r="J64" i="55"/>
  <c r="J65" i="55"/>
  <c r="J66" i="55"/>
  <c r="J67" i="55"/>
  <c r="J68" i="55"/>
  <c r="J69" i="55"/>
  <c r="J70" i="55"/>
  <c r="J71" i="55"/>
  <c r="J72" i="55"/>
  <c r="J73" i="55"/>
  <c r="J74" i="55"/>
  <c r="J76" i="55"/>
  <c r="J77" i="55"/>
  <c r="J78" i="55"/>
  <c r="J79" i="55"/>
  <c r="J80" i="55"/>
  <c r="J81" i="55"/>
  <c r="J82" i="55"/>
  <c r="J83" i="55"/>
  <c r="J84" i="55"/>
  <c r="J85" i="55"/>
  <c r="J86" i="55"/>
  <c r="J87" i="55"/>
  <c r="J89" i="55"/>
  <c r="J90" i="55"/>
  <c r="J91" i="55"/>
  <c r="J92" i="55"/>
  <c r="J93" i="55"/>
  <c r="J94" i="55"/>
  <c r="J95" i="55"/>
  <c r="J96" i="55"/>
  <c r="J97" i="55"/>
  <c r="J98" i="55"/>
  <c r="J99" i="55"/>
  <c r="J100" i="55"/>
  <c r="J102" i="55"/>
  <c r="J103" i="55"/>
  <c r="J104" i="55"/>
  <c r="J105" i="55"/>
  <c r="J106" i="55"/>
  <c r="J107" i="55"/>
  <c r="J108" i="55"/>
  <c r="J110" i="55"/>
  <c r="J111" i="55"/>
  <c r="J112" i="55"/>
  <c r="J113" i="55"/>
  <c r="J114" i="55"/>
  <c r="J115" i="55"/>
  <c r="J116" i="55"/>
  <c r="J117" i="55"/>
  <c r="J119" i="55"/>
  <c r="J120" i="55"/>
  <c r="J121" i="55"/>
  <c r="J122" i="55"/>
  <c r="J123" i="55"/>
  <c r="J124" i="55"/>
  <c r="J125" i="55"/>
  <c r="J126" i="55"/>
  <c r="J127" i="55"/>
  <c r="J128" i="55"/>
  <c r="J130" i="55"/>
  <c r="J131" i="55"/>
  <c r="J132" i="55"/>
  <c r="J133" i="55"/>
  <c r="J134" i="55"/>
  <c r="J135" i="55"/>
  <c r="J136" i="55"/>
  <c r="J137" i="55"/>
  <c r="J138" i="55"/>
  <c r="J140" i="55"/>
  <c r="J141" i="55"/>
  <c r="J142" i="55"/>
  <c r="J143" i="55"/>
  <c r="J144" i="55"/>
  <c r="J145" i="55"/>
  <c r="J147" i="55"/>
  <c r="J148" i="55"/>
  <c r="J149" i="55"/>
  <c r="J150" i="55"/>
  <c r="J151" i="55"/>
  <c r="J152" i="55"/>
  <c r="J153" i="55"/>
  <c r="J155" i="55"/>
  <c r="J156" i="55"/>
  <c r="J157" i="55"/>
  <c r="J158" i="55"/>
  <c r="J159" i="55"/>
  <c r="J160" i="55"/>
  <c r="J162" i="55"/>
  <c r="J163" i="55"/>
  <c r="J164" i="55"/>
  <c r="J165" i="55"/>
  <c r="J166" i="55"/>
  <c r="J167" i="55"/>
  <c r="J169" i="55"/>
  <c r="J170" i="55"/>
  <c r="J171" i="55"/>
  <c r="J172" i="55"/>
  <c r="J173" i="55"/>
  <c r="J174" i="55"/>
  <c r="J175" i="55"/>
  <c r="J176" i="55"/>
  <c r="J177" i="55"/>
  <c r="J178" i="55"/>
  <c r="J179" i="55"/>
  <c r="J180" i="55"/>
  <c r="J182" i="55"/>
  <c r="J183" i="55"/>
  <c r="J184" i="55"/>
  <c r="J185" i="55"/>
  <c r="J186" i="55"/>
  <c r="J187" i="55"/>
  <c r="J188" i="55"/>
  <c r="J189" i="55"/>
  <c r="J190" i="55"/>
  <c r="J191" i="55"/>
  <c r="J192" i="55"/>
  <c r="J193" i="55"/>
  <c r="J194" i="55"/>
  <c r="J195" i="55"/>
  <c r="J196" i="55"/>
  <c r="J197" i="55"/>
  <c r="J198" i="55"/>
  <c r="J199" i="55"/>
  <c r="J201" i="55"/>
  <c r="J202" i="55"/>
  <c r="J203" i="55"/>
  <c r="J204" i="55"/>
  <c r="J205" i="55"/>
  <c r="J207" i="55"/>
  <c r="J208" i="55"/>
  <c r="J209" i="55"/>
  <c r="J211" i="55"/>
  <c r="J212" i="55"/>
  <c r="J213" i="55"/>
  <c r="J214" i="55"/>
  <c r="J215" i="55"/>
  <c r="J216" i="55"/>
  <c r="J217" i="55"/>
  <c r="J218" i="55"/>
  <c r="J4" i="55"/>
  <c r="J146" i="55" l="1"/>
  <c r="B30" i="34" s="1"/>
  <c r="J139" i="55"/>
  <c r="B29" i="31" s="1"/>
  <c r="J45" i="55"/>
  <c r="B32" i="13" s="1"/>
  <c r="J219" i="55"/>
  <c r="B32" i="51" s="1"/>
  <c r="J109" i="55"/>
  <c r="B24" i="25" s="1"/>
  <c r="J88" i="55"/>
  <c r="B38" i="18" s="1"/>
  <c r="J168" i="55"/>
  <c r="B38" i="44" s="1"/>
  <c r="J101" i="55"/>
  <c r="B45" i="21" s="1"/>
  <c r="C220" i="55"/>
  <c r="J210" i="55"/>
  <c r="B30" i="50" s="1"/>
  <c r="J161" i="55"/>
  <c r="B18" i="43" s="1"/>
  <c r="J55" i="55"/>
  <c r="B34" i="16" s="1"/>
  <c r="J34" i="55"/>
  <c r="B32" i="12" s="1"/>
  <c r="J200" i="55"/>
  <c r="B35" i="47" s="1"/>
  <c r="J129" i="55"/>
  <c r="B35" i="30" s="1"/>
  <c r="J181" i="55"/>
  <c r="B35" i="45" s="1"/>
  <c r="J154" i="55"/>
  <c r="B31" i="38" s="1"/>
  <c r="J118" i="55"/>
  <c r="B28" i="26" s="1"/>
  <c r="J75" i="55"/>
  <c r="B32" i="17" s="1"/>
  <c r="J19" i="55"/>
  <c r="B28" i="11" s="1"/>
  <c r="J12" i="55"/>
  <c r="B25" i="10" l="1"/>
  <c r="I4" i="65"/>
  <c r="P4" i="65" s="1"/>
  <c r="Q4" i="65" s="1"/>
  <c r="J220" i="55"/>
  <c r="F19" i="10" l="1"/>
  <c r="E29" i="52"/>
  <c r="K29" i="52"/>
  <c r="H29" i="52"/>
  <c r="H5" i="52"/>
  <c r="E5" i="52"/>
  <c r="B5" i="52"/>
  <c r="C27" i="46"/>
  <c r="C30" i="20"/>
  <c r="C30" i="49"/>
  <c r="C31" i="36"/>
  <c r="C31" i="15"/>
  <c r="C30" i="19"/>
  <c r="C33" i="5"/>
  <c r="C20" i="43"/>
  <c r="C31" i="31"/>
  <c r="C37" i="30"/>
  <c r="C26" i="25"/>
  <c r="C27" i="10"/>
  <c r="B34" i="51"/>
  <c r="B32" i="50"/>
  <c r="B37" i="47"/>
  <c r="B37" i="45"/>
  <c r="B40" i="44"/>
  <c r="B20" i="43"/>
  <c r="B33" i="38"/>
  <c r="B32" i="34"/>
  <c r="B31" i="31"/>
  <c r="B37" i="30"/>
  <c r="B30" i="26"/>
  <c r="B26" i="25"/>
  <c r="B40" i="18"/>
  <c r="B34" i="17"/>
  <c r="B36" i="16"/>
  <c r="B34" i="13"/>
  <c r="B34" i="12"/>
  <c r="B30" i="11"/>
  <c r="B27" i="10"/>
  <c r="N78" i="54"/>
  <c r="M78" i="54"/>
  <c r="L78" i="54"/>
  <c r="K78" i="54"/>
  <c r="J78" i="54"/>
  <c r="I78" i="54"/>
  <c r="H78" i="54"/>
  <c r="G78" i="54"/>
  <c r="F78" i="54"/>
  <c r="E78" i="54"/>
  <c r="D78" i="54"/>
  <c r="C78" i="54"/>
  <c r="B78" i="54"/>
  <c r="C79" i="54" l="1"/>
  <c r="C80" i="54" s="1"/>
  <c r="C87" i="53" l="1"/>
  <c r="F86" i="53"/>
  <c r="E85" i="53"/>
  <c r="B85" i="53"/>
  <c r="I84" i="53"/>
  <c r="C28" i="10" s="1"/>
  <c r="G84" i="53"/>
  <c r="D84" i="53"/>
  <c r="I83" i="53"/>
  <c r="C34" i="5" s="1"/>
  <c r="G83" i="53"/>
  <c r="D83" i="53"/>
  <c r="I82" i="53"/>
  <c r="C31" i="20" s="1"/>
  <c r="G82" i="53"/>
  <c r="D82" i="53"/>
  <c r="I81" i="53"/>
  <c r="C31" i="49" s="1"/>
  <c r="G81" i="53"/>
  <c r="D81" i="53"/>
  <c r="I80" i="53"/>
  <c r="B35" i="51" s="1"/>
  <c r="G80" i="53"/>
  <c r="D80" i="53"/>
  <c r="I79" i="53"/>
  <c r="C28" i="46" s="1"/>
  <c r="G79" i="53"/>
  <c r="D79" i="53"/>
  <c r="I78" i="53"/>
  <c r="B33" i="50" s="1"/>
  <c r="G78" i="53"/>
  <c r="D78" i="53"/>
  <c r="I77" i="53"/>
  <c r="C27" i="25" s="1"/>
  <c r="G77" i="53"/>
  <c r="D77" i="53"/>
  <c r="I76" i="53"/>
  <c r="C32" i="15" s="1"/>
  <c r="G76" i="53"/>
  <c r="D76" i="53"/>
  <c r="I75" i="53"/>
  <c r="B38" i="47" s="1"/>
  <c r="G75" i="53"/>
  <c r="D75" i="53"/>
  <c r="I74" i="53"/>
  <c r="G74" i="53"/>
  <c r="D74" i="53"/>
  <c r="I73" i="53"/>
  <c r="C32" i="31" s="1"/>
  <c r="G73" i="53"/>
  <c r="D73" i="53"/>
  <c r="I72" i="53"/>
  <c r="B38" i="45" s="1"/>
  <c r="G72" i="53"/>
  <c r="D72" i="53"/>
  <c r="I71" i="53"/>
  <c r="C31" i="19" s="1"/>
  <c r="G71" i="53"/>
  <c r="D71" i="53"/>
  <c r="I70" i="53"/>
  <c r="C32" i="36" s="1"/>
  <c r="G70" i="53"/>
  <c r="D70" i="53"/>
  <c r="I69" i="53"/>
  <c r="C21" i="43" s="1"/>
  <c r="G69" i="53"/>
  <c r="D69" i="53"/>
  <c r="I68" i="53"/>
  <c r="B41" i="44" s="1"/>
  <c r="G68" i="53"/>
  <c r="D68" i="53"/>
  <c r="I67" i="53"/>
  <c r="K30" i="52" s="1"/>
  <c r="G67" i="53"/>
  <c r="D67" i="53"/>
  <c r="I66" i="53"/>
  <c r="H30" i="52" s="1"/>
  <c r="G66" i="53"/>
  <c r="D66" i="53"/>
  <c r="I65" i="53"/>
  <c r="B21" i="43" s="1"/>
  <c r="G65" i="53"/>
  <c r="D65" i="53"/>
  <c r="I64" i="53"/>
  <c r="B34" i="38" s="1"/>
  <c r="G64" i="53"/>
  <c r="I63" i="53"/>
  <c r="E30" i="52" s="1"/>
  <c r="G63" i="53"/>
  <c r="I62" i="53"/>
  <c r="C31" i="23" s="1"/>
  <c r="G62" i="53"/>
  <c r="I61" i="53"/>
  <c r="C34" i="40" s="1"/>
  <c r="G61" i="53"/>
  <c r="I60" i="53"/>
  <c r="C22" i="6" s="1"/>
  <c r="G60" i="53"/>
  <c r="I59" i="53"/>
  <c r="C27" i="3" s="1"/>
  <c r="G59" i="53"/>
  <c r="I58" i="53"/>
  <c r="B30" i="52" s="1"/>
  <c r="G58" i="53"/>
  <c r="I57" i="53"/>
  <c r="B33" i="34" s="1"/>
  <c r="G57" i="53"/>
  <c r="I56" i="53"/>
  <c r="C41" i="18" s="1"/>
  <c r="G56" i="53"/>
  <c r="I55" i="53"/>
  <c r="B32" i="31" s="1"/>
  <c r="G55" i="53"/>
  <c r="I54" i="53"/>
  <c r="G54" i="53"/>
  <c r="I53" i="53"/>
  <c r="C31" i="29" s="1"/>
  <c r="G53" i="53"/>
  <c r="I52" i="53"/>
  <c r="C33" i="50" s="1"/>
  <c r="G52" i="53"/>
  <c r="I51" i="53"/>
  <c r="B38" i="30" s="1"/>
  <c r="G51" i="53"/>
  <c r="I50" i="53"/>
  <c r="C35" i="35" s="1"/>
  <c r="G50" i="53"/>
  <c r="I49" i="53"/>
  <c r="C19" i="4" s="1"/>
  <c r="G49" i="53"/>
  <c r="I48" i="53"/>
  <c r="N22" i="52" s="1"/>
  <c r="G48" i="53"/>
  <c r="I47" i="53"/>
  <c r="C29" i="22" s="1"/>
  <c r="G47" i="53"/>
  <c r="I46" i="53"/>
  <c r="C31" i="11" s="1"/>
  <c r="G46" i="53"/>
  <c r="I45" i="53"/>
  <c r="C30" i="32" s="1"/>
  <c r="G45" i="53"/>
  <c r="I44" i="53"/>
  <c r="C35" i="37" s="1"/>
  <c r="G44" i="53"/>
  <c r="I43" i="53"/>
  <c r="C35" i="51" s="1"/>
  <c r="G43" i="53"/>
  <c r="I42" i="53"/>
  <c r="C31" i="26" s="1"/>
  <c r="G42" i="53"/>
  <c r="I41" i="53"/>
  <c r="B31" i="26" s="1"/>
  <c r="G41" i="53"/>
  <c r="I40" i="53"/>
  <c r="B27" i="25" s="1"/>
  <c r="G40" i="53"/>
  <c r="I39" i="53"/>
  <c r="C38" i="47" s="1"/>
  <c r="G39" i="53"/>
  <c r="I38" i="53"/>
  <c r="C34" i="7" s="1"/>
  <c r="G38" i="53"/>
  <c r="I37" i="53"/>
  <c r="C36" i="48" s="1"/>
  <c r="G37" i="53"/>
  <c r="I36" i="53"/>
  <c r="K22" i="52" s="1"/>
  <c r="G36" i="53"/>
  <c r="I35" i="53"/>
  <c r="C41" i="44" s="1"/>
  <c r="G35" i="53"/>
  <c r="I34" i="53"/>
  <c r="C28" i="33" s="1"/>
  <c r="G34" i="53"/>
  <c r="I33" i="53"/>
  <c r="C33" i="8" s="1"/>
  <c r="G33" i="53"/>
  <c r="I32" i="53"/>
  <c r="H22" i="52" s="1"/>
  <c r="G32" i="53"/>
  <c r="I31" i="53"/>
  <c r="C34" i="38" s="1"/>
  <c r="G31" i="53"/>
  <c r="I30" i="53"/>
  <c r="E22" i="52" s="1"/>
  <c r="G30" i="53"/>
  <c r="I29" i="53"/>
  <c r="B22" i="52" s="1"/>
  <c r="G29" i="53"/>
  <c r="I28" i="53"/>
  <c r="N14" i="52" s="1"/>
  <c r="G28" i="53"/>
  <c r="I27" i="53"/>
  <c r="C27" i="42" s="1"/>
  <c r="G27" i="53"/>
  <c r="I26" i="53"/>
  <c r="B48" i="21" s="1"/>
  <c r="G26" i="53"/>
  <c r="I25" i="53"/>
  <c r="H14" i="52" s="1"/>
  <c r="G25" i="53"/>
  <c r="I24" i="53"/>
  <c r="E14" i="52" s="1"/>
  <c r="G24" i="53"/>
  <c r="I23" i="53"/>
  <c r="C17" i="2" s="1"/>
  <c r="G23" i="53"/>
  <c r="I22" i="53"/>
  <c r="B14" i="52" s="1"/>
  <c r="G22" i="53"/>
  <c r="I20" i="53"/>
  <c r="N6" i="52" s="1"/>
  <c r="G20" i="53"/>
  <c r="D20" i="53"/>
  <c r="I19" i="53"/>
  <c r="K6" i="52" s="1"/>
  <c r="G19" i="53"/>
  <c r="D19" i="53"/>
  <c r="I18" i="53"/>
  <c r="C35" i="17" s="1"/>
  <c r="G18" i="53"/>
  <c r="D18" i="53"/>
  <c r="I17" i="53"/>
  <c r="B41" i="18" s="1"/>
  <c r="G17" i="53"/>
  <c r="D17" i="53"/>
  <c r="I16" i="53"/>
  <c r="B35" i="17" s="1"/>
  <c r="G16" i="53"/>
  <c r="D16" i="53"/>
  <c r="I15" i="53"/>
  <c r="B37" i="16" s="1"/>
  <c r="G15" i="53"/>
  <c r="D15" i="53"/>
  <c r="I14" i="53"/>
  <c r="C37" i="16" s="1"/>
  <c r="G14" i="53"/>
  <c r="D14" i="53"/>
  <c r="I13" i="53"/>
  <c r="C38" i="45" s="1"/>
  <c r="G13" i="53"/>
  <c r="D13" i="53"/>
  <c r="I12" i="53"/>
  <c r="B35" i="13" s="1"/>
  <c r="G12" i="53"/>
  <c r="D12" i="53"/>
  <c r="I11" i="53"/>
  <c r="B35" i="12" s="1"/>
  <c r="G11" i="53"/>
  <c r="D11" i="53"/>
  <c r="I10" i="53"/>
  <c r="B31" i="11" s="1"/>
  <c r="G10" i="53"/>
  <c r="D10" i="53"/>
  <c r="I9" i="53"/>
  <c r="B28" i="10" s="1"/>
  <c r="G9" i="53"/>
  <c r="D9" i="53"/>
  <c r="I21" i="53"/>
  <c r="C33" i="34" s="1"/>
  <c r="I8" i="53"/>
  <c r="H6" i="52" s="1"/>
  <c r="G8" i="53"/>
  <c r="D8" i="53"/>
  <c r="I7" i="53"/>
  <c r="E6" i="52" s="1"/>
  <c r="G7" i="53"/>
  <c r="D7" i="53"/>
  <c r="I6" i="53"/>
  <c r="B6" i="52" s="1"/>
  <c r="G6" i="53"/>
  <c r="D6" i="53"/>
  <c r="I5" i="53"/>
  <c r="G5" i="53"/>
  <c r="D5" i="53"/>
  <c r="I85" i="53" l="1"/>
  <c r="H23" i="1" l="1"/>
  <c r="E23" i="1"/>
  <c r="H22" i="1"/>
  <c r="E22" i="1"/>
  <c r="G22" i="1" s="1"/>
  <c r="H21" i="1"/>
  <c r="E21" i="1"/>
  <c r="G21" i="1" s="1"/>
  <c r="H20" i="1"/>
  <c r="E20" i="1"/>
  <c r="H19" i="1"/>
  <c r="E19" i="1"/>
  <c r="H18" i="1"/>
  <c r="E18" i="1"/>
  <c r="G18" i="1" s="1"/>
  <c r="H17" i="1"/>
  <c r="E17" i="1"/>
  <c r="G17" i="1" s="1"/>
  <c r="H16" i="1"/>
  <c r="E16" i="1"/>
  <c r="H15" i="1"/>
  <c r="E15" i="1"/>
  <c r="H82" i="1"/>
  <c r="E82" i="1"/>
  <c r="G82" i="1" s="1"/>
  <c r="H14" i="1"/>
  <c r="E14" i="1"/>
  <c r="G14" i="1" s="1"/>
  <c r="H83" i="1"/>
  <c r="E83" i="1"/>
  <c r="H84" i="1"/>
  <c r="E84" i="1"/>
  <c r="H80" i="1"/>
  <c r="E80" i="1"/>
  <c r="G80" i="1" s="1"/>
  <c r="H48" i="1"/>
  <c r="E48" i="1"/>
  <c r="G48" i="1" s="1"/>
  <c r="H41" i="1"/>
  <c r="E41" i="1"/>
  <c r="H13" i="1"/>
  <c r="E13" i="1"/>
  <c r="H57" i="1"/>
  <c r="E57" i="1"/>
  <c r="G57" i="1" s="1"/>
  <c r="H86" i="1"/>
  <c r="E86" i="1"/>
  <c r="G86" i="1" s="1"/>
  <c r="H88" i="1"/>
  <c r="E88" i="1"/>
  <c r="H33" i="1"/>
  <c r="E33" i="1"/>
  <c r="H31" i="1"/>
  <c r="E31" i="1"/>
  <c r="G31" i="1" s="1"/>
  <c r="H40" i="1"/>
  <c r="E40" i="1"/>
  <c r="G40" i="1" s="1"/>
  <c r="H39" i="1"/>
  <c r="E39" i="1"/>
  <c r="H38" i="1"/>
  <c r="E38" i="1"/>
  <c r="H74" i="1"/>
  <c r="E74" i="1"/>
  <c r="G74" i="1" s="1"/>
  <c r="H73" i="1"/>
  <c r="E73" i="1"/>
  <c r="G73" i="1" s="1"/>
  <c r="H47" i="1"/>
  <c r="E47" i="1"/>
  <c r="H54" i="1"/>
  <c r="E54" i="1"/>
  <c r="H53" i="1"/>
  <c r="E53" i="1"/>
  <c r="G53" i="1" s="1"/>
  <c r="H52" i="1"/>
  <c r="E52" i="1"/>
  <c r="G52" i="1" s="1"/>
  <c r="H87" i="1"/>
  <c r="E87" i="1"/>
  <c r="H51" i="1"/>
  <c r="E51" i="1"/>
  <c r="H50" i="1"/>
  <c r="E50" i="1"/>
  <c r="G50" i="1" s="1"/>
  <c r="H65" i="1"/>
  <c r="E65" i="1"/>
  <c r="G65" i="1" s="1"/>
  <c r="H64" i="1"/>
  <c r="E64" i="1"/>
  <c r="H63" i="1"/>
  <c r="E63" i="1"/>
  <c r="H62" i="1"/>
  <c r="E62" i="1"/>
  <c r="G62" i="1" s="1"/>
  <c r="H60" i="1"/>
  <c r="E60" i="1"/>
  <c r="G60" i="1" s="1"/>
  <c r="H56" i="1"/>
  <c r="E56" i="1"/>
  <c r="H85" i="1"/>
  <c r="E85" i="1"/>
  <c r="H81" i="1"/>
  <c r="E81" i="1"/>
  <c r="G81" i="1" s="1"/>
  <c r="H89" i="1"/>
  <c r="E89" i="1"/>
  <c r="G89" i="1" s="1"/>
  <c r="H77" i="1"/>
  <c r="E77" i="1"/>
  <c r="H49" i="1"/>
  <c r="E49" i="1"/>
  <c r="H66" i="1"/>
  <c r="E66" i="1"/>
  <c r="G66" i="1" s="1"/>
  <c r="H75" i="1"/>
  <c r="E75" i="1"/>
  <c r="G75" i="1" s="1"/>
  <c r="H71" i="1"/>
  <c r="E71" i="1"/>
  <c r="H70" i="1"/>
  <c r="E70" i="1"/>
  <c r="H34" i="1"/>
  <c r="E34" i="1"/>
  <c r="G34" i="1" s="1"/>
  <c r="H35" i="1"/>
  <c r="E35" i="1"/>
  <c r="G35" i="1" s="1"/>
  <c r="H32" i="1"/>
  <c r="E32" i="1"/>
  <c r="H28" i="1"/>
  <c r="E28" i="1"/>
  <c r="H26" i="1"/>
  <c r="E26" i="1"/>
  <c r="G26" i="1" s="1"/>
  <c r="H7" i="1"/>
  <c r="E7" i="1"/>
  <c r="G7" i="1" s="1"/>
  <c r="H6" i="1"/>
  <c r="E6" i="1"/>
  <c r="H8" i="1"/>
  <c r="E8" i="1"/>
  <c r="H37" i="1"/>
  <c r="E37" i="1"/>
  <c r="G37" i="1" s="1"/>
  <c r="H36" i="1"/>
  <c r="E36" i="1"/>
  <c r="G36" i="1" s="1"/>
  <c r="H27" i="1"/>
  <c r="E27" i="1"/>
  <c r="H43" i="1"/>
  <c r="E43" i="1"/>
  <c r="H46" i="1"/>
  <c r="E46" i="1"/>
  <c r="G46" i="1" s="1"/>
  <c r="H29" i="1"/>
  <c r="E29" i="1"/>
  <c r="G29" i="1" s="1"/>
  <c r="H24" i="1"/>
  <c r="E24" i="1"/>
  <c r="H42" i="1"/>
  <c r="E42" i="1"/>
  <c r="H10" i="1"/>
  <c r="G10" i="1"/>
  <c r="K10" i="1" s="1"/>
  <c r="B32" i="11" s="1"/>
  <c r="H79" i="1"/>
  <c r="E79" i="1"/>
  <c r="H61" i="1"/>
  <c r="E61" i="1"/>
  <c r="G61" i="1" s="1"/>
  <c r="H67" i="1"/>
  <c r="E67" i="1"/>
  <c r="G67" i="1" s="1"/>
  <c r="I67" i="1" s="1"/>
  <c r="H72" i="1"/>
  <c r="F72" i="1"/>
  <c r="E72" i="1"/>
  <c r="G72" i="1" s="1"/>
  <c r="H55" i="1"/>
  <c r="F55" i="1"/>
  <c r="E55" i="1"/>
  <c r="H76" i="1"/>
  <c r="F76" i="1"/>
  <c r="E76" i="1"/>
  <c r="G76" i="1" s="1"/>
  <c r="H59" i="1"/>
  <c r="F59" i="1"/>
  <c r="E59" i="1"/>
  <c r="H44" i="1"/>
  <c r="F44" i="1"/>
  <c r="E44" i="1"/>
  <c r="H45" i="1"/>
  <c r="E45" i="1"/>
  <c r="H12" i="1"/>
  <c r="G12" i="1" s="1"/>
  <c r="K12" i="1" s="1"/>
  <c r="B36" i="13" s="1"/>
  <c r="H11" i="1"/>
  <c r="G11" i="1" s="1"/>
  <c r="H68" i="1"/>
  <c r="F68" i="1"/>
  <c r="E68" i="1"/>
  <c r="H9" i="1"/>
  <c r="G9" i="1" s="1"/>
  <c r="K9" i="1" s="1"/>
  <c r="B29" i="10" s="1"/>
  <c r="H25" i="1"/>
  <c r="F25" i="1"/>
  <c r="E25" i="1"/>
  <c r="H69" i="1"/>
  <c r="F69" i="1"/>
  <c r="E69" i="1"/>
  <c r="H30" i="1"/>
  <c r="F30" i="1"/>
  <c r="E30" i="1"/>
  <c r="H78" i="1"/>
  <c r="F78" i="1"/>
  <c r="E78" i="1"/>
  <c r="H58" i="1"/>
  <c r="F58" i="1"/>
  <c r="E58" i="1"/>
  <c r="H5" i="1"/>
  <c r="F5" i="1"/>
  <c r="E5" i="1"/>
  <c r="E90" i="1" l="1"/>
  <c r="G78" i="1"/>
  <c r="G30" i="1"/>
  <c r="J30" i="1" s="1"/>
  <c r="G25" i="1"/>
  <c r="K25" i="1" s="1"/>
  <c r="B15" i="52" s="1"/>
  <c r="B17" i="52" s="1"/>
  <c r="G45" i="1"/>
  <c r="G44" i="1"/>
  <c r="G59" i="1"/>
  <c r="J59" i="1" s="1"/>
  <c r="K30" i="1"/>
  <c r="B49" i="21" s="1"/>
  <c r="G5" i="1"/>
  <c r="K5" i="1" s="1"/>
  <c r="G58" i="1"/>
  <c r="I58" i="1" s="1"/>
  <c r="F90" i="1"/>
  <c r="H90" i="1"/>
  <c r="G69" i="1"/>
  <c r="J69" i="1" s="1"/>
  <c r="G68" i="1"/>
  <c r="J68" i="1" s="1"/>
  <c r="G55" i="1"/>
  <c r="G79" i="1"/>
  <c r="J79" i="1" s="1"/>
  <c r="G42" i="1"/>
  <c r="I42" i="1" s="1"/>
  <c r="G24" i="1"/>
  <c r="J24" i="1" s="1"/>
  <c r="G43" i="1"/>
  <c r="G27" i="1"/>
  <c r="K27" i="1" s="1"/>
  <c r="E15" i="52" s="1"/>
  <c r="E17" i="52" s="1"/>
  <c r="G8" i="1"/>
  <c r="K8" i="1" s="1"/>
  <c r="H7" i="52" s="1"/>
  <c r="H9" i="52" s="1"/>
  <c r="G6" i="1"/>
  <c r="I6" i="1" s="1"/>
  <c r="G28" i="1"/>
  <c r="G32" i="1"/>
  <c r="J32" i="1" s="1"/>
  <c r="G70" i="1"/>
  <c r="K70" i="1" s="1"/>
  <c r="H31" i="52" s="1"/>
  <c r="H33" i="52" s="1"/>
  <c r="G71" i="1"/>
  <c r="I71" i="1" s="1"/>
  <c r="G49" i="1"/>
  <c r="G77" i="1"/>
  <c r="I77" i="1" s="1"/>
  <c r="G85" i="1"/>
  <c r="I85" i="1" s="1"/>
  <c r="G56" i="1"/>
  <c r="K56" i="1" s="1"/>
  <c r="C34" i="50" s="1"/>
  <c r="G63" i="1"/>
  <c r="G64" i="1"/>
  <c r="I64" i="1" s="1"/>
  <c r="G51" i="1"/>
  <c r="I51" i="1" s="1"/>
  <c r="G87" i="1"/>
  <c r="K87" i="1" s="1"/>
  <c r="C35" i="5" s="1"/>
  <c r="G54" i="1"/>
  <c r="G47" i="1"/>
  <c r="I47" i="1" s="1"/>
  <c r="G38" i="1"/>
  <c r="K38" i="1" s="1"/>
  <c r="C29" i="33" s="1"/>
  <c r="G39" i="1"/>
  <c r="K39" i="1" s="1"/>
  <c r="C42" i="44" s="1"/>
  <c r="G33" i="1"/>
  <c r="G88" i="1"/>
  <c r="K88" i="1" s="1"/>
  <c r="C29" i="10" s="1"/>
  <c r="G13" i="1"/>
  <c r="J13" i="1" s="1"/>
  <c r="G41" i="1"/>
  <c r="I41" i="1" s="1"/>
  <c r="G84" i="1"/>
  <c r="G83" i="1"/>
  <c r="I83" i="1" s="1"/>
  <c r="G15" i="1"/>
  <c r="K15" i="1" s="1"/>
  <c r="B38" i="16" s="1"/>
  <c r="G16" i="1"/>
  <c r="I16" i="1" s="1"/>
  <c r="G19" i="1"/>
  <c r="G20" i="1"/>
  <c r="K20" i="1" s="1"/>
  <c r="N7" i="52" s="1"/>
  <c r="N9" i="52" s="1"/>
  <c r="G23" i="1"/>
  <c r="I23" i="1" s="1"/>
  <c r="I24" i="1"/>
  <c r="K24" i="1"/>
  <c r="C34" i="34" s="1"/>
  <c r="K55" i="1"/>
  <c r="B39" i="30" s="1"/>
  <c r="J55" i="1"/>
  <c r="I55" i="1"/>
  <c r="I70" i="1"/>
  <c r="I49" i="1"/>
  <c r="K49" i="1"/>
  <c r="C31" i="32" s="1"/>
  <c r="J49" i="1"/>
  <c r="I63" i="1"/>
  <c r="J63" i="1"/>
  <c r="K63" i="1"/>
  <c r="C28" i="3" s="1"/>
  <c r="I54" i="1"/>
  <c r="J54" i="1"/>
  <c r="K54" i="1"/>
  <c r="C36" i="35" s="1"/>
  <c r="J38" i="1"/>
  <c r="I33" i="1"/>
  <c r="K33" i="1"/>
  <c r="B23" i="52" s="1"/>
  <c r="B25" i="52" s="1"/>
  <c r="J33" i="1"/>
  <c r="I84" i="1"/>
  <c r="K84" i="1"/>
  <c r="B36" i="51" s="1"/>
  <c r="J84" i="1"/>
  <c r="I15" i="1"/>
  <c r="I19" i="1"/>
  <c r="J19" i="1"/>
  <c r="K19" i="1"/>
  <c r="K7" i="52" s="1"/>
  <c r="K9" i="52" s="1"/>
  <c r="K23" i="1"/>
  <c r="C36" i="13" s="1"/>
  <c r="J23" i="1"/>
  <c r="K61" i="1"/>
  <c r="B34" i="34" s="1"/>
  <c r="J61" i="1"/>
  <c r="I61" i="1"/>
  <c r="J78" i="1"/>
  <c r="K78" i="1"/>
  <c r="I78" i="1"/>
  <c r="K77" i="1"/>
  <c r="C33" i="31" s="1"/>
  <c r="I88" i="1"/>
  <c r="K72" i="1"/>
  <c r="B42" i="44" s="1"/>
  <c r="J72" i="1"/>
  <c r="I72" i="1"/>
  <c r="K29" i="1"/>
  <c r="K15" i="52" s="1"/>
  <c r="K17" i="52" s="1"/>
  <c r="J29" i="1"/>
  <c r="I29" i="1"/>
  <c r="K36" i="1"/>
  <c r="H23" i="52" s="1"/>
  <c r="H25" i="52" s="1"/>
  <c r="J36" i="1"/>
  <c r="I36" i="1"/>
  <c r="K7" i="1"/>
  <c r="E7" i="52" s="1"/>
  <c r="E9" i="52" s="1"/>
  <c r="J7" i="1"/>
  <c r="I7" i="1"/>
  <c r="K35" i="1"/>
  <c r="C35" i="38" s="1"/>
  <c r="J35" i="1"/>
  <c r="I35" i="1"/>
  <c r="K75" i="1"/>
  <c r="C32" i="19" s="1"/>
  <c r="J75" i="1"/>
  <c r="I75" i="1"/>
  <c r="K89" i="1"/>
  <c r="C49" i="21" s="1"/>
  <c r="J89" i="1"/>
  <c r="I89" i="1"/>
  <c r="K60" i="1"/>
  <c r="C42" i="18" s="1"/>
  <c r="J60" i="1"/>
  <c r="I60" i="1"/>
  <c r="K65" i="1"/>
  <c r="C35" i="40" s="1"/>
  <c r="J65" i="1"/>
  <c r="I65" i="1"/>
  <c r="K52" i="1"/>
  <c r="N23" i="52" s="1"/>
  <c r="N25" i="52" s="1"/>
  <c r="J52" i="1"/>
  <c r="I52" i="1"/>
  <c r="K73" i="1"/>
  <c r="C22" i="43" s="1"/>
  <c r="J73" i="1"/>
  <c r="I73" i="1"/>
  <c r="K40" i="1"/>
  <c r="K23" i="52" s="1"/>
  <c r="K25" i="52" s="1"/>
  <c r="J40" i="1"/>
  <c r="I40" i="1"/>
  <c r="K86" i="1"/>
  <c r="C32" i="20" s="1"/>
  <c r="J86" i="1"/>
  <c r="I86" i="1"/>
  <c r="K48" i="1"/>
  <c r="C36" i="37" s="1"/>
  <c r="J48" i="1"/>
  <c r="I48" i="1"/>
  <c r="K14" i="1"/>
  <c r="C38" i="16" s="1"/>
  <c r="J14" i="1"/>
  <c r="I14" i="1"/>
  <c r="K17" i="1"/>
  <c r="B42" i="18" s="1"/>
  <c r="J17" i="1"/>
  <c r="I17" i="1"/>
  <c r="K21" i="1"/>
  <c r="C39" i="30" s="1"/>
  <c r="J21" i="1"/>
  <c r="I21" i="1"/>
  <c r="I45" i="1"/>
  <c r="K45" i="1"/>
  <c r="B32" i="26" s="1"/>
  <c r="J45" i="1"/>
  <c r="K32" i="1"/>
  <c r="N15" i="52" s="1"/>
  <c r="N17" i="52" s="1"/>
  <c r="I32" i="1"/>
  <c r="I87" i="1"/>
  <c r="K16" i="1"/>
  <c r="B36" i="17" s="1"/>
  <c r="J16" i="1"/>
  <c r="I27" i="1"/>
  <c r="I56" i="1"/>
  <c r="J56" i="1"/>
  <c r="I39" i="1"/>
  <c r="K46" i="1"/>
  <c r="C32" i="26" s="1"/>
  <c r="J46" i="1"/>
  <c r="I46" i="1"/>
  <c r="K34" i="1"/>
  <c r="E23" i="52" s="1"/>
  <c r="E25" i="52" s="1"/>
  <c r="J34" i="1"/>
  <c r="I34" i="1"/>
  <c r="K66" i="1"/>
  <c r="C32" i="23" s="1"/>
  <c r="J66" i="1"/>
  <c r="I66" i="1"/>
  <c r="K81" i="1"/>
  <c r="C28" i="25" s="1"/>
  <c r="J81" i="1"/>
  <c r="I81" i="1"/>
  <c r="K62" i="1"/>
  <c r="B31" i="52" s="1"/>
  <c r="B33" i="52" s="1"/>
  <c r="J62" i="1"/>
  <c r="I62" i="1"/>
  <c r="K50" i="1"/>
  <c r="C32" i="11" s="1"/>
  <c r="J50" i="1"/>
  <c r="I50" i="1"/>
  <c r="K53" i="1"/>
  <c r="C20" i="4" s="1"/>
  <c r="J53" i="1"/>
  <c r="I53" i="1"/>
  <c r="K74" i="1"/>
  <c r="C33" i="36" s="1"/>
  <c r="J74" i="1"/>
  <c r="I74" i="1"/>
  <c r="K31" i="1"/>
  <c r="C28" i="42" s="1"/>
  <c r="J31" i="1"/>
  <c r="I31" i="1"/>
  <c r="K57" i="1"/>
  <c r="C32" i="29" s="1"/>
  <c r="J57" i="1"/>
  <c r="I57" i="1"/>
  <c r="K80" i="1"/>
  <c r="C33" i="15" s="1"/>
  <c r="J80" i="1"/>
  <c r="I80" i="1"/>
  <c r="K82" i="1"/>
  <c r="B34" i="50" s="1"/>
  <c r="J82" i="1"/>
  <c r="I82" i="1"/>
  <c r="K18" i="1"/>
  <c r="C36" i="17" s="1"/>
  <c r="J18" i="1"/>
  <c r="I18" i="1"/>
  <c r="K22" i="1"/>
  <c r="C36" i="12" s="1"/>
  <c r="J22" i="1"/>
  <c r="I22" i="1"/>
  <c r="K6" i="1"/>
  <c r="B7" i="52" s="1"/>
  <c r="B9" i="52" s="1"/>
  <c r="I20" i="1"/>
  <c r="K44" i="1"/>
  <c r="B28" i="25" s="1"/>
  <c r="I44" i="1"/>
  <c r="J44" i="1"/>
  <c r="I68" i="1"/>
  <c r="K26" i="1"/>
  <c r="C18" i="2" s="1"/>
  <c r="J26" i="1"/>
  <c r="I26" i="1"/>
  <c r="J25" i="1"/>
  <c r="J11" i="1"/>
  <c r="I11" i="1"/>
  <c r="K11" i="1"/>
  <c r="B36" i="12" s="1"/>
  <c r="K71" i="1"/>
  <c r="K31" i="52" s="1"/>
  <c r="K33" i="52" s="1"/>
  <c r="K64" i="1"/>
  <c r="C23" i="6" s="1"/>
  <c r="J64" i="1"/>
  <c r="K41" i="1"/>
  <c r="C37" i="48" s="1"/>
  <c r="I79" i="1"/>
  <c r="K76" i="1"/>
  <c r="B39" i="45" s="1"/>
  <c r="J76" i="1"/>
  <c r="I76" i="1"/>
  <c r="K37" i="1"/>
  <c r="C34" i="8" s="1"/>
  <c r="J37" i="1"/>
  <c r="I37" i="1"/>
  <c r="J58" i="1"/>
  <c r="K58" i="1"/>
  <c r="K43" i="1"/>
  <c r="C39" i="47" s="1"/>
  <c r="J43" i="1"/>
  <c r="I43" i="1"/>
  <c r="I28" i="1"/>
  <c r="K28" i="1"/>
  <c r="H15" i="52" s="1"/>
  <c r="H17" i="52" s="1"/>
  <c r="J28" i="1"/>
  <c r="K13" i="1"/>
  <c r="C39" i="45" s="1"/>
  <c r="J9" i="1"/>
  <c r="I12" i="1"/>
  <c r="J67" i="1"/>
  <c r="I10" i="1"/>
  <c r="I5" i="1"/>
  <c r="I9" i="1"/>
  <c r="J12" i="1"/>
  <c r="K67" i="1"/>
  <c r="E31" i="52" s="1"/>
  <c r="E33" i="52" s="1"/>
  <c r="J10" i="1"/>
  <c r="I38" i="1" l="1"/>
  <c r="K85" i="1"/>
  <c r="C32" i="49" s="1"/>
  <c r="I8" i="1"/>
  <c r="J85" i="1"/>
  <c r="G90" i="1"/>
  <c r="I25" i="1"/>
  <c r="I90" i="1" s="1"/>
  <c r="J83" i="1"/>
  <c r="J8" i="1"/>
  <c r="K83" i="1"/>
  <c r="C29" i="46" s="1"/>
  <c r="I69" i="1"/>
  <c r="K51" i="1"/>
  <c r="C30" i="22" s="1"/>
  <c r="K42" i="1"/>
  <c r="C35" i="7" s="1"/>
  <c r="I59" i="1"/>
  <c r="K69" i="1"/>
  <c r="B22" i="43" s="1"/>
  <c r="J42" i="1"/>
  <c r="J5" i="1"/>
  <c r="J90" i="1" s="1"/>
  <c r="I13" i="1"/>
  <c r="J47" i="1"/>
  <c r="J15" i="1"/>
  <c r="J51" i="1"/>
  <c r="J70" i="1"/>
  <c r="K59" i="1"/>
  <c r="B33" i="31" s="1"/>
  <c r="K47" i="1"/>
  <c r="C36" i="51" s="1"/>
  <c r="J88" i="1"/>
  <c r="I30" i="1"/>
  <c r="C73" i="64"/>
  <c r="AT107" i="61"/>
  <c r="C75" i="64"/>
  <c r="AT113" i="61"/>
  <c r="C16" i="64"/>
  <c r="AU33" i="61"/>
  <c r="C86" i="64"/>
  <c r="AT140" i="61"/>
  <c r="C69" i="64"/>
  <c r="AT102" i="61"/>
  <c r="C80" i="64"/>
  <c r="AT120" i="61"/>
  <c r="C78" i="64"/>
  <c r="AT118" i="61"/>
  <c r="C81" i="64"/>
  <c r="AT122" i="61"/>
  <c r="C76" i="64"/>
  <c r="AT115" i="61"/>
  <c r="K79" i="1"/>
  <c r="B39" i="47" s="1"/>
  <c r="J41" i="1"/>
  <c r="J71" i="1"/>
  <c r="C74" i="64"/>
  <c r="AU26" i="61"/>
  <c r="K68" i="1"/>
  <c r="B35" i="38" s="1"/>
  <c r="J20" i="1"/>
  <c r="J6" i="1"/>
  <c r="C84" i="64"/>
  <c r="AT137" i="61"/>
  <c r="J39" i="1"/>
  <c r="J27" i="1"/>
  <c r="J87" i="1"/>
  <c r="C82" i="64"/>
  <c r="AT125" i="61"/>
  <c r="C83" i="64"/>
  <c r="AT132" i="61"/>
  <c r="C70" i="64"/>
  <c r="AT103" i="61"/>
  <c r="C77" i="64"/>
  <c r="AT116" i="61"/>
  <c r="J77" i="1"/>
  <c r="C72" i="64"/>
  <c r="AT106" i="61"/>
  <c r="C79" i="64"/>
  <c r="AT119" i="61"/>
  <c r="C85" i="64"/>
  <c r="AT139" i="61"/>
  <c r="C71" i="64"/>
  <c r="AT104" i="61"/>
  <c r="C87" i="64" l="1"/>
  <c r="K13" i="64" s="1"/>
  <c r="AT145" i="61"/>
  <c r="K90" i="1"/>
  <c r="D22" i="14"/>
  <c r="L22" i="14"/>
  <c r="O22" i="14"/>
  <c r="A25" i="14" s="1"/>
  <c r="Q21" i="14"/>
  <c r="P21" i="14"/>
  <c r="Q19" i="14"/>
  <c r="P19" i="14"/>
  <c r="Q17" i="14"/>
  <c r="P17" i="14"/>
  <c r="Q15" i="14"/>
  <c r="P15" i="14"/>
  <c r="Q13" i="14"/>
  <c r="P13" i="14"/>
  <c r="Q11" i="14"/>
  <c r="P11" i="14"/>
  <c r="Q9" i="14"/>
  <c r="P9" i="14"/>
  <c r="Q7" i="14"/>
  <c r="P7" i="14"/>
  <c r="Q5" i="14"/>
  <c r="P5" i="14"/>
  <c r="D26" i="9"/>
  <c r="L26" i="9"/>
  <c r="O26" i="9"/>
  <c r="A29" i="9" s="1"/>
  <c r="Q25" i="9"/>
  <c r="P25" i="9"/>
  <c r="Q11" i="9"/>
  <c r="P11" i="9"/>
  <c r="Q23" i="9"/>
  <c r="P23" i="9"/>
  <c r="Q21" i="9"/>
  <c r="P21" i="9"/>
  <c r="Q19" i="9"/>
  <c r="P19" i="9"/>
  <c r="Q17" i="9"/>
  <c r="P17" i="9"/>
  <c r="Q15" i="9"/>
  <c r="P15" i="9"/>
  <c r="Q9" i="9"/>
  <c r="P9" i="9"/>
  <c r="Q7" i="9"/>
  <c r="P7" i="9"/>
  <c r="Q5" i="9"/>
  <c r="P5" i="9"/>
  <c r="Q18" i="27"/>
  <c r="P18" i="27"/>
  <c r="D23" i="27"/>
  <c r="L23" i="27"/>
  <c r="O23" i="27"/>
  <c r="A26" i="27" s="1"/>
  <c r="Q22" i="27"/>
  <c r="P22" i="27"/>
  <c r="Q7" i="27"/>
  <c r="P7" i="27"/>
  <c r="Q20" i="27"/>
  <c r="P20" i="27"/>
  <c r="Q16" i="27"/>
  <c r="P16" i="27"/>
  <c r="Q14" i="27"/>
  <c r="P14" i="27"/>
  <c r="Q12" i="27"/>
  <c r="P12" i="27"/>
  <c r="Q10" i="27"/>
  <c r="P10" i="27"/>
  <c r="Q5" i="27"/>
  <c r="P5" i="27"/>
  <c r="D24" i="24"/>
  <c r="L24" i="24"/>
  <c r="Q11" i="24"/>
  <c r="P11" i="24"/>
  <c r="Q22" i="24"/>
  <c r="P22" i="24"/>
  <c r="Q20" i="24"/>
  <c r="P20" i="24"/>
  <c r="Q18" i="24"/>
  <c r="P18" i="24"/>
  <c r="Q16" i="24"/>
  <c r="P16" i="24"/>
  <c r="Q9" i="24"/>
  <c r="P9" i="24"/>
  <c r="Q7" i="24"/>
  <c r="Q13" i="24"/>
  <c r="P13" i="24"/>
  <c r="Q4" i="24"/>
  <c r="O4" i="24"/>
  <c r="O24" i="24" s="1"/>
  <c r="A27" i="24" s="1"/>
  <c r="P7" i="24"/>
  <c r="D17" i="28"/>
  <c r="L17" i="28"/>
  <c r="O17" i="28"/>
  <c r="A20" i="28" s="1"/>
  <c r="C62" i="64" s="1"/>
  <c r="Q11" i="28"/>
  <c r="P11" i="28"/>
  <c r="Q14" i="28"/>
  <c r="P14" i="28"/>
  <c r="Q6" i="28"/>
  <c r="P6" i="28"/>
  <c r="Q4" i="28"/>
  <c r="P4" i="28"/>
  <c r="D23" i="8"/>
  <c r="L23" i="8"/>
  <c r="O23" i="8"/>
  <c r="B30" i="8" s="1"/>
  <c r="C29" i="8" s="1"/>
  <c r="Q21" i="8"/>
  <c r="P21" i="8"/>
  <c r="Q19" i="8"/>
  <c r="P19" i="8"/>
  <c r="Q17" i="8"/>
  <c r="P17" i="8"/>
  <c r="Q15" i="8"/>
  <c r="P15" i="8"/>
  <c r="Q13" i="8"/>
  <c r="P13" i="8"/>
  <c r="Q11" i="8"/>
  <c r="P11" i="8"/>
  <c r="Q9" i="8"/>
  <c r="P9" i="8"/>
  <c r="Q7" i="8"/>
  <c r="P7" i="8"/>
  <c r="Q5" i="8"/>
  <c r="P5" i="8"/>
  <c r="D7" i="2"/>
  <c r="L7" i="2"/>
  <c r="O7" i="2"/>
  <c r="B14" i="2" s="1"/>
  <c r="C13" i="2" s="1"/>
  <c r="Q6" i="2"/>
  <c r="P6" i="2"/>
  <c r="Q4" i="2"/>
  <c r="P4" i="2"/>
  <c r="D18" i="46"/>
  <c r="B24" i="46" s="1"/>
  <c r="L18" i="46"/>
  <c r="O18" i="46"/>
  <c r="B25" i="46" s="1"/>
  <c r="C24" i="46" s="1"/>
  <c r="Q16" i="46"/>
  <c r="P16" i="46"/>
  <c r="Q14" i="46"/>
  <c r="P14" i="46"/>
  <c r="Q12" i="46"/>
  <c r="P12" i="46"/>
  <c r="Q10" i="46"/>
  <c r="P10" i="46"/>
  <c r="Q8" i="46"/>
  <c r="P8" i="46"/>
  <c r="Q6" i="46"/>
  <c r="P6" i="46"/>
  <c r="Q4" i="46"/>
  <c r="P4" i="46"/>
  <c r="D21" i="20"/>
  <c r="L21" i="20"/>
  <c r="O21" i="20"/>
  <c r="B28" i="20" s="1"/>
  <c r="C27" i="20" s="1"/>
  <c r="Q20" i="20"/>
  <c r="P20" i="20"/>
  <c r="Q12" i="20"/>
  <c r="P12" i="20"/>
  <c r="Q18" i="20"/>
  <c r="P18" i="20"/>
  <c r="Q16" i="20"/>
  <c r="P16" i="20"/>
  <c r="Q10" i="20"/>
  <c r="P10" i="20"/>
  <c r="Q8" i="20"/>
  <c r="P8" i="20"/>
  <c r="Q6" i="20"/>
  <c r="P6" i="20"/>
  <c r="Q4" i="20"/>
  <c r="P4" i="20"/>
  <c r="D12" i="6"/>
  <c r="A15" i="6" s="1"/>
  <c r="L12" i="6"/>
  <c r="O12" i="6"/>
  <c r="B19" i="6" s="1"/>
  <c r="C18" i="6" s="1"/>
  <c r="Q10" i="6"/>
  <c r="P10" i="6"/>
  <c r="Q8" i="6"/>
  <c r="P8" i="6"/>
  <c r="Q6" i="6"/>
  <c r="P6" i="6"/>
  <c r="Q4" i="6"/>
  <c r="P4" i="6"/>
  <c r="D20" i="32"/>
  <c r="B26" i="32" s="1"/>
  <c r="L20" i="32"/>
  <c r="O20" i="32"/>
  <c r="B27" i="32" s="1"/>
  <c r="C26" i="32" s="1"/>
  <c r="Q19" i="32"/>
  <c r="P19" i="32"/>
  <c r="Q17" i="32"/>
  <c r="P17" i="32"/>
  <c r="Q15" i="32"/>
  <c r="P15" i="32"/>
  <c r="Q13" i="32"/>
  <c r="P13" i="32"/>
  <c r="Q11" i="32"/>
  <c r="P11" i="32"/>
  <c r="Q9" i="32"/>
  <c r="P9" i="32"/>
  <c r="Q7" i="32"/>
  <c r="P7" i="32"/>
  <c r="Q5" i="32"/>
  <c r="P5" i="32"/>
  <c r="D21" i="49"/>
  <c r="B27" i="49" s="1"/>
  <c r="L21" i="49"/>
  <c r="O21" i="49"/>
  <c r="B28" i="49" s="1"/>
  <c r="C27" i="49" s="1"/>
  <c r="Q19" i="49"/>
  <c r="P19" i="49"/>
  <c r="Q17" i="49"/>
  <c r="P17" i="49"/>
  <c r="Q15" i="49"/>
  <c r="P15" i="49"/>
  <c r="Q13" i="49"/>
  <c r="P13" i="49"/>
  <c r="Q11" i="49"/>
  <c r="P11" i="49"/>
  <c r="Q9" i="49"/>
  <c r="P9" i="49"/>
  <c r="Q7" i="49"/>
  <c r="P7" i="49"/>
  <c r="Q5" i="49"/>
  <c r="P5" i="49"/>
  <c r="D22" i="36"/>
  <c r="B28" i="36" s="1"/>
  <c r="L22" i="36"/>
  <c r="Q20" i="36"/>
  <c r="O20" i="36"/>
  <c r="O22" i="36" s="1"/>
  <c r="B29" i="36" s="1"/>
  <c r="C28" i="36" s="1"/>
  <c r="Q18" i="36"/>
  <c r="P18" i="36"/>
  <c r="Q16" i="36"/>
  <c r="P16" i="36"/>
  <c r="Q14" i="36"/>
  <c r="P14" i="36"/>
  <c r="Q12" i="36"/>
  <c r="P12" i="36"/>
  <c r="Q10" i="36"/>
  <c r="P10" i="36"/>
  <c r="Q8" i="36"/>
  <c r="P8" i="36"/>
  <c r="Q6" i="36"/>
  <c r="P6" i="36"/>
  <c r="Q4" i="36"/>
  <c r="P4" i="36"/>
  <c r="D21" i="23"/>
  <c r="B27" i="23" s="1"/>
  <c r="L21" i="23"/>
  <c r="O21" i="23"/>
  <c r="B28" i="23" s="1"/>
  <c r="C27" i="23" s="1"/>
  <c r="Q20" i="23"/>
  <c r="P20" i="23"/>
  <c r="Q18" i="23"/>
  <c r="P18" i="23"/>
  <c r="Q16" i="23"/>
  <c r="P16" i="23"/>
  <c r="Q14" i="23"/>
  <c r="P14" i="23"/>
  <c r="Q12" i="23"/>
  <c r="P12" i="23"/>
  <c r="Q10" i="23"/>
  <c r="P10" i="23"/>
  <c r="Q8" i="23"/>
  <c r="P8" i="23"/>
  <c r="Q6" i="23"/>
  <c r="P6" i="23"/>
  <c r="Q4" i="23"/>
  <c r="P4" i="23"/>
  <c r="D17" i="3"/>
  <c r="A20" i="3" s="1"/>
  <c r="L17" i="3"/>
  <c r="O17" i="3"/>
  <c r="B24" i="3" s="1"/>
  <c r="C23" i="3" s="1"/>
  <c r="Q15" i="3"/>
  <c r="P15" i="3"/>
  <c r="Q13" i="3"/>
  <c r="P13" i="3"/>
  <c r="Q11" i="3"/>
  <c r="P11" i="3"/>
  <c r="Q9" i="3"/>
  <c r="P9" i="3"/>
  <c r="Q7" i="3"/>
  <c r="P7" i="3"/>
  <c r="Q5" i="3"/>
  <c r="P5" i="3"/>
  <c r="D22" i="15"/>
  <c r="L22" i="15"/>
  <c r="O22" i="15"/>
  <c r="B29" i="15" s="1"/>
  <c r="C28" i="15" s="1"/>
  <c r="Q20" i="15"/>
  <c r="P20" i="15"/>
  <c r="Q18" i="15"/>
  <c r="P18" i="15"/>
  <c r="Q16" i="15"/>
  <c r="P16" i="15"/>
  <c r="Q14" i="15"/>
  <c r="P14" i="15"/>
  <c r="Q12" i="15"/>
  <c r="P12" i="15"/>
  <c r="Q7" i="15"/>
  <c r="P7" i="15"/>
  <c r="Q9" i="15"/>
  <c r="P9" i="15"/>
  <c r="Q4" i="15"/>
  <c r="P4" i="15"/>
  <c r="D21" i="19"/>
  <c r="B27" i="19" s="1"/>
  <c r="L21" i="19"/>
  <c r="O21" i="19"/>
  <c r="B28" i="19" s="1"/>
  <c r="C27" i="19" s="1"/>
  <c r="Q10" i="19"/>
  <c r="P10" i="19"/>
  <c r="Q19" i="19"/>
  <c r="P19" i="19"/>
  <c r="Q17" i="19"/>
  <c r="P17" i="19"/>
  <c r="Q15" i="19"/>
  <c r="P15" i="19"/>
  <c r="Q13" i="19"/>
  <c r="P13" i="19"/>
  <c r="Q8" i="19"/>
  <c r="P8" i="19"/>
  <c r="Q6" i="19"/>
  <c r="P6" i="19"/>
  <c r="Q4" i="19"/>
  <c r="P4" i="19"/>
  <c r="D24" i="5"/>
  <c r="B30" i="5" s="1"/>
  <c r="L24" i="5"/>
  <c r="O24" i="5"/>
  <c r="B31" i="5" s="1"/>
  <c r="C30" i="5" s="1"/>
  <c r="D30" i="5" s="1"/>
  <c r="Q23" i="5"/>
  <c r="P23" i="5"/>
  <c r="Q21" i="5"/>
  <c r="P21" i="5"/>
  <c r="Q19" i="5"/>
  <c r="P19" i="5"/>
  <c r="Q17" i="5"/>
  <c r="P17" i="5"/>
  <c r="Q15" i="5"/>
  <c r="P15" i="5"/>
  <c r="Q13" i="5"/>
  <c r="P13" i="5"/>
  <c r="Q11" i="5"/>
  <c r="P11" i="5"/>
  <c r="Q9" i="5"/>
  <c r="P9" i="5"/>
  <c r="Q7" i="5"/>
  <c r="P7" i="5"/>
  <c r="Q5" i="5"/>
  <c r="P5" i="5"/>
  <c r="D24" i="40"/>
  <c r="B30" i="40" s="1"/>
  <c r="L24" i="40"/>
  <c r="O24" i="40"/>
  <c r="B31" i="40" s="1"/>
  <c r="C30" i="40" s="1"/>
  <c r="D30" i="40" s="1"/>
  <c r="Q22" i="40"/>
  <c r="P22" i="40"/>
  <c r="Q20" i="40"/>
  <c r="P20" i="40"/>
  <c r="Q18" i="40"/>
  <c r="P18" i="40"/>
  <c r="Q16" i="40"/>
  <c r="P16" i="40"/>
  <c r="Q14" i="40"/>
  <c r="P14" i="40"/>
  <c r="Q12" i="40"/>
  <c r="P12" i="40"/>
  <c r="Q10" i="40"/>
  <c r="P10" i="40"/>
  <c r="Q8" i="40"/>
  <c r="P8" i="40"/>
  <c r="Q6" i="40"/>
  <c r="P6" i="40"/>
  <c r="Q4" i="40"/>
  <c r="P4" i="40"/>
  <c r="D25" i="37"/>
  <c r="A28" i="37" s="1"/>
  <c r="L25" i="37"/>
  <c r="O25" i="37"/>
  <c r="B32" i="37" s="1"/>
  <c r="C31" i="37" s="1"/>
  <c r="Q24" i="37"/>
  <c r="P24" i="37"/>
  <c r="Q22" i="37"/>
  <c r="P22" i="37"/>
  <c r="Q20" i="37"/>
  <c r="P20" i="37"/>
  <c r="Q18" i="37"/>
  <c r="P18" i="37"/>
  <c r="Q16" i="37"/>
  <c r="P16" i="37"/>
  <c r="Q14" i="37"/>
  <c r="P14" i="37"/>
  <c r="Q12" i="37"/>
  <c r="P12" i="37"/>
  <c r="Q10" i="37"/>
  <c r="P10" i="37"/>
  <c r="Q8" i="37"/>
  <c r="P8" i="37"/>
  <c r="Q6" i="37"/>
  <c r="P6" i="37"/>
  <c r="Q4" i="37"/>
  <c r="P4" i="37"/>
  <c r="D28" i="36" l="1"/>
  <c r="A10" i="2"/>
  <c r="P4" i="24"/>
  <c r="A25" i="15"/>
  <c r="A24" i="20"/>
  <c r="A26" i="8"/>
  <c r="C64" i="64"/>
  <c r="AT96" i="61"/>
  <c r="C25" i="14"/>
  <c r="D27" i="49"/>
  <c r="C27" i="24"/>
  <c r="C60" i="64"/>
  <c r="AT92" i="61"/>
  <c r="B31" i="37"/>
  <c r="D31" i="37" s="1"/>
  <c r="D42" i="64"/>
  <c r="AV67" i="61"/>
  <c r="B13" i="57"/>
  <c r="C32" i="40"/>
  <c r="C37" i="40" s="1"/>
  <c r="A27" i="40"/>
  <c r="D43" i="64"/>
  <c r="AV68" i="61"/>
  <c r="B14" i="57"/>
  <c r="C32" i="5"/>
  <c r="C37" i="5" s="1"/>
  <c r="C38" i="5" s="1"/>
  <c r="D38" i="5" s="1"/>
  <c r="A27" i="5"/>
  <c r="D44" i="64"/>
  <c r="AV69" i="61"/>
  <c r="B15" i="57"/>
  <c r="C29" i="19"/>
  <c r="C34" i="19" s="1"/>
  <c r="A24" i="19"/>
  <c r="B28" i="15"/>
  <c r="D28" i="15" s="1"/>
  <c r="B23" i="3"/>
  <c r="D47" i="64"/>
  <c r="AV72" i="61"/>
  <c r="B18" i="57"/>
  <c r="C29" i="23"/>
  <c r="C34" i="23" s="1"/>
  <c r="A24" i="23"/>
  <c r="D48" i="64"/>
  <c r="AV75" i="61"/>
  <c r="B19" i="57"/>
  <c r="C30" i="36"/>
  <c r="C35" i="36" s="1"/>
  <c r="C36" i="36" s="1"/>
  <c r="D36" i="36" s="1"/>
  <c r="A25" i="36"/>
  <c r="D49" i="64"/>
  <c r="AV77" i="61"/>
  <c r="B20" i="57"/>
  <c r="C29" i="49"/>
  <c r="C34" i="49" s="1"/>
  <c r="A24" i="49"/>
  <c r="D50" i="64"/>
  <c r="AV78" i="61"/>
  <c r="B21" i="57"/>
  <c r="C28" i="32"/>
  <c r="C33" i="32" s="1"/>
  <c r="C34" i="32" s="1"/>
  <c r="D34" i="32" s="1"/>
  <c r="A23" i="32"/>
  <c r="B18" i="6"/>
  <c r="B27" i="20"/>
  <c r="D52" i="64"/>
  <c r="AV81" i="61"/>
  <c r="B24" i="57"/>
  <c r="C26" i="46"/>
  <c r="C31" i="46" s="1"/>
  <c r="A21" i="46"/>
  <c r="B13" i="2"/>
  <c r="B29" i="8"/>
  <c r="AV94" i="61"/>
  <c r="D62" i="64"/>
  <c r="E62" i="64" s="1"/>
  <c r="D60" i="64"/>
  <c r="AV92" i="61"/>
  <c r="D61" i="64"/>
  <c r="AV93" i="61"/>
  <c r="C26" i="27"/>
  <c r="C61" i="64"/>
  <c r="E61" i="64" s="1"/>
  <c r="AT93" i="61"/>
  <c r="D63" i="64"/>
  <c r="AV95" i="61"/>
  <c r="C63" i="64"/>
  <c r="E63" i="64" s="1"/>
  <c r="AT95" i="61"/>
  <c r="AT146" i="61"/>
  <c r="AT8" i="61"/>
  <c r="D41" i="64"/>
  <c r="AV66" i="61"/>
  <c r="B12" i="57"/>
  <c r="C33" i="37"/>
  <c r="C38" i="37" s="1"/>
  <c r="C39" i="37" s="1"/>
  <c r="D39" i="37" s="1"/>
  <c r="D45" i="64"/>
  <c r="AV70" i="61"/>
  <c r="B16" i="57"/>
  <c r="C30" i="15"/>
  <c r="C35" i="15" s="1"/>
  <c r="D46" i="64"/>
  <c r="AV71" i="61"/>
  <c r="B17" i="57"/>
  <c r="C25" i="3"/>
  <c r="C30" i="3" s="1"/>
  <c r="C31" i="3" s="1"/>
  <c r="D31" i="3" s="1"/>
  <c r="P20" i="36"/>
  <c r="D53" i="64"/>
  <c r="AV84" i="61"/>
  <c r="B22" i="57"/>
  <c r="C20" i="6"/>
  <c r="C25" i="6" s="1"/>
  <c r="D51" i="64"/>
  <c r="AV80" i="61"/>
  <c r="B23" i="57"/>
  <c r="C29" i="20"/>
  <c r="C34" i="20" s="1"/>
  <c r="C35" i="20" s="1"/>
  <c r="D35" i="20" s="1"/>
  <c r="D54" i="64"/>
  <c r="AV85" i="61"/>
  <c r="B25" i="57"/>
  <c r="C15" i="2"/>
  <c r="C20" i="2" s="1"/>
  <c r="C21" i="2" s="1"/>
  <c r="D21" i="2" s="1"/>
  <c r="D55" i="64"/>
  <c r="AV86" i="61"/>
  <c r="B26" i="57"/>
  <c r="C31" i="8"/>
  <c r="C36" i="8" s="1"/>
  <c r="C37" i="8" s="1"/>
  <c r="D37" i="8" s="1"/>
  <c r="C29" i="9"/>
  <c r="D64" i="64"/>
  <c r="AV96" i="61"/>
  <c r="Q17" i="28"/>
  <c r="P17" i="28"/>
  <c r="C20" i="28"/>
  <c r="AT94" i="61"/>
  <c r="C26" i="6"/>
  <c r="D26" i="6" s="1"/>
  <c r="C35" i="49"/>
  <c r="D35" i="49" s="1"/>
  <c r="C36" i="15"/>
  <c r="D36" i="15" s="1"/>
  <c r="D29" i="8"/>
  <c r="D13" i="2"/>
  <c r="C32" i="46"/>
  <c r="D32" i="46" s="1"/>
  <c r="D24" i="46"/>
  <c r="D27" i="20"/>
  <c r="D18" i="6"/>
  <c r="D26" i="32"/>
  <c r="C35" i="23"/>
  <c r="D35" i="23" s="1"/>
  <c r="D27" i="23"/>
  <c r="D23" i="3"/>
  <c r="C35" i="19"/>
  <c r="D35" i="19" s="1"/>
  <c r="D27" i="19"/>
  <c r="C38" i="40"/>
  <c r="D38" i="40" s="1"/>
  <c r="AW95" i="61" l="1"/>
  <c r="C55" i="64"/>
  <c r="E55" i="64" s="1"/>
  <c r="AU86" i="61"/>
  <c r="AW86" i="61" s="1"/>
  <c r="C54" i="64"/>
  <c r="E54" i="64" s="1"/>
  <c r="AU85" i="61"/>
  <c r="AW85" i="61" s="1"/>
  <c r="C50" i="64"/>
  <c r="E50" i="64" s="1"/>
  <c r="AU78" i="61"/>
  <c r="AW78" i="61" s="1"/>
  <c r="C41" i="64"/>
  <c r="AU66" i="61"/>
  <c r="C42" i="64"/>
  <c r="E42" i="64" s="1"/>
  <c r="AU67" i="61"/>
  <c r="AW67" i="61" s="1"/>
  <c r="C44" i="64"/>
  <c r="E44" i="64" s="1"/>
  <c r="AU69" i="61"/>
  <c r="AW69" i="61" s="1"/>
  <c r="C51" i="64"/>
  <c r="AU80" i="61"/>
  <c r="AW80" i="61" s="1"/>
  <c r="C52" i="64"/>
  <c r="E53" i="64" s="1"/>
  <c r="AU81" i="61"/>
  <c r="AW81" i="61" s="1"/>
  <c r="C45" i="64"/>
  <c r="E45" i="64" s="1"/>
  <c r="AU70" i="61"/>
  <c r="AW70" i="61" s="1"/>
  <c r="C48" i="64"/>
  <c r="E48" i="64" s="1"/>
  <c r="AU75" i="61"/>
  <c r="AW75" i="61" s="1"/>
  <c r="C53" i="64"/>
  <c r="AU84" i="61"/>
  <c r="AW84" i="61" s="1"/>
  <c r="D56" i="64"/>
  <c r="K18" i="64" s="1"/>
  <c r="C65" i="64"/>
  <c r="E60" i="64"/>
  <c r="AW96" i="61"/>
  <c r="C46" i="64"/>
  <c r="E46" i="64" s="1"/>
  <c r="AU71" i="61"/>
  <c r="AW71" i="61" s="1"/>
  <c r="C47" i="64"/>
  <c r="E47" i="64" s="1"/>
  <c r="AU72" i="61"/>
  <c r="AW72" i="61" s="1"/>
  <c r="C49" i="64"/>
  <c r="E49" i="64" s="1"/>
  <c r="AU77" i="61"/>
  <c r="AW77" i="61" s="1"/>
  <c r="AV87" i="61"/>
  <c r="AW93" i="61"/>
  <c r="D65" i="64"/>
  <c r="K19" i="64" s="1"/>
  <c r="AV97" i="61"/>
  <c r="C43" i="64"/>
  <c r="E43" i="64" s="1"/>
  <c r="AU68" i="61"/>
  <c r="AW68" i="61" s="1"/>
  <c r="AW92" i="61"/>
  <c r="E64" i="64"/>
  <c r="AW94" i="61"/>
  <c r="AT97" i="61"/>
  <c r="D24" i="7"/>
  <c r="B30" i="7" s="1"/>
  <c r="L24" i="7"/>
  <c r="O24" i="7"/>
  <c r="B31" i="7" s="1"/>
  <c r="C30" i="7" s="1"/>
  <c r="Q23" i="7"/>
  <c r="P23" i="7"/>
  <c r="Q21" i="7"/>
  <c r="P21" i="7"/>
  <c r="Q19" i="7"/>
  <c r="P19" i="7"/>
  <c r="Q17" i="7"/>
  <c r="P17" i="7"/>
  <c r="Q15" i="7"/>
  <c r="P15" i="7"/>
  <c r="Q13" i="7"/>
  <c r="P13" i="7"/>
  <c r="Q11" i="7"/>
  <c r="P11" i="7"/>
  <c r="Q9" i="7"/>
  <c r="P9" i="7"/>
  <c r="Q7" i="7"/>
  <c r="P7" i="7"/>
  <c r="Q4" i="7"/>
  <c r="P4" i="7"/>
  <c r="D9" i="4"/>
  <c r="B15" i="4" s="1"/>
  <c r="L9" i="4"/>
  <c r="O9" i="4"/>
  <c r="B16" i="4" s="1"/>
  <c r="C15" i="4" s="1"/>
  <c r="Q7" i="4"/>
  <c r="P7" i="4"/>
  <c r="Q5" i="4"/>
  <c r="P5" i="4"/>
  <c r="D21" i="29"/>
  <c r="B27" i="29" s="1"/>
  <c r="L21" i="29"/>
  <c r="O21" i="29"/>
  <c r="B28" i="29" s="1"/>
  <c r="C27" i="29" s="1"/>
  <c r="Q19" i="29"/>
  <c r="P19" i="29"/>
  <c r="Q17" i="29"/>
  <c r="P17" i="29"/>
  <c r="Q15" i="29"/>
  <c r="P15" i="29"/>
  <c r="Q13" i="29"/>
  <c r="P13" i="29"/>
  <c r="Q11" i="29"/>
  <c r="P11" i="29"/>
  <c r="Q9" i="29"/>
  <c r="P9" i="29"/>
  <c r="Q7" i="29"/>
  <c r="P7" i="29"/>
  <c r="Q5" i="29"/>
  <c r="P5" i="29"/>
  <c r="D26" i="48"/>
  <c r="B32" i="48" s="1"/>
  <c r="L26" i="48"/>
  <c r="O26" i="48"/>
  <c r="B33" i="48" s="1"/>
  <c r="C32" i="48" s="1"/>
  <c r="Q24" i="48"/>
  <c r="P24" i="48"/>
  <c r="Q22" i="48"/>
  <c r="P22" i="48"/>
  <c r="Q20" i="48"/>
  <c r="P20" i="48"/>
  <c r="Q18" i="48"/>
  <c r="P18" i="48"/>
  <c r="Q16" i="48"/>
  <c r="P16" i="48"/>
  <c r="Q14" i="48"/>
  <c r="P14" i="48"/>
  <c r="Q12" i="48"/>
  <c r="P12" i="48"/>
  <c r="Q10" i="48"/>
  <c r="P10" i="48"/>
  <c r="Q8" i="48"/>
  <c r="P8" i="48"/>
  <c r="Q6" i="48"/>
  <c r="P6" i="48"/>
  <c r="Q4" i="48"/>
  <c r="P4" i="48"/>
  <c r="D19" i="22"/>
  <c r="L19" i="22"/>
  <c r="O19" i="22"/>
  <c r="B26" i="22" s="1"/>
  <c r="C25" i="22" s="1"/>
  <c r="Q18" i="22"/>
  <c r="P18" i="22"/>
  <c r="Q16" i="22"/>
  <c r="P16" i="22"/>
  <c r="Q14" i="22"/>
  <c r="P14" i="22"/>
  <c r="Q12" i="22"/>
  <c r="P12" i="22"/>
  <c r="Q10" i="22"/>
  <c r="P10" i="22"/>
  <c r="Q8" i="22"/>
  <c r="P8" i="22"/>
  <c r="Q6" i="22"/>
  <c r="P6" i="22"/>
  <c r="Q4" i="22"/>
  <c r="P4" i="22"/>
  <c r="A22" i="22" l="1"/>
  <c r="D30" i="7"/>
  <c r="B25" i="22"/>
  <c r="D32" i="64"/>
  <c r="H8" i="63"/>
  <c r="AV51" i="61"/>
  <c r="C34" i="48"/>
  <c r="C39" i="48" s="1"/>
  <c r="C40" i="48" s="1"/>
  <c r="D40" i="48" s="1"/>
  <c r="A29" i="48"/>
  <c r="H9" i="63"/>
  <c r="D33" i="64"/>
  <c r="AV52" i="61"/>
  <c r="C29" i="29"/>
  <c r="C34" i="29" s="1"/>
  <c r="C35" i="29" s="1"/>
  <c r="D35" i="29" s="1"/>
  <c r="A24" i="29"/>
  <c r="D34" i="64"/>
  <c r="H10" i="63"/>
  <c r="AV53" i="61"/>
  <c r="C17" i="4"/>
  <c r="C22" i="4" s="1"/>
  <c r="A12" i="4"/>
  <c r="D35" i="64"/>
  <c r="H11" i="63"/>
  <c r="AV54" i="61"/>
  <c r="C32" i="7"/>
  <c r="C37" i="7" s="1"/>
  <c r="C38" i="7" s="1"/>
  <c r="D38" i="7" s="1"/>
  <c r="A27" i="7"/>
  <c r="E65" i="64"/>
  <c r="K12" i="64"/>
  <c r="E52" i="64"/>
  <c r="E51" i="64"/>
  <c r="E41" i="64"/>
  <c r="C56" i="64"/>
  <c r="D31" i="64"/>
  <c r="H7" i="63"/>
  <c r="AV49" i="61"/>
  <c r="C27" i="22"/>
  <c r="C32" i="22" s="1"/>
  <c r="AW66" i="61"/>
  <c r="AU87" i="61"/>
  <c r="AT98" i="61"/>
  <c r="AT7" i="61"/>
  <c r="AW97" i="61"/>
  <c r="C23" i="4"/>
  <c r="D23" i="4" s="1"/>
  <c r="D15" i="4"/>
  <c r="D27" i="29"/>
  <c r="D32" i="48"/>
  <c r="C33" i="22"/>
  <c r="D33" i="22" s="1"/>
  <c r="D25" i="22"/>
  <c r="D25" i="35"/>
  <c r="L25" i="35"/>
  <c r="O25" i="35"/>
  <c r="B32" i="35" s="1"/>
  <c r="C31" i="35" s="1"/>
  <c r="Q18" i="35"/>
  <c r="P18" i="35"/>
  <c r="Q10" i="35"/>
  <c r="P10" i="35"/>
  <c r="Q16" i="35"/>
  <c r="P16" i="35"/>
  <c r="Q8" i="35"/>
  <c r="P8" i="35"/>
  <c r="Q6" i="35"/>
  <c r="P6" i="35"/>
  <c r="Q4" i="35"/>
  <c r="P4" i="35"/>
  <c r="A28" i="35" l="1"/>
  <c r="C32" i="64"/>
  <c r="E32" i="64" s="1"/>
  <c r="AU51" i="61"/>
  <c r="AW51" i="61" s="1"/>
  <c r="C33" i="64"/>
  <c r="E33" i="64" s="1"/>
  <c r="AU52" i="61"/>
  <c r="AW52" i="61" s="1"/>
  <c r="B31" i="35"/>
  <c r="C31" i="64"/>
  <c r="E31" i="64" s="1"/>
  <c r="AU49" i="61"/>
  <c r="AW49" i="61" s="1"/>
  <c r="C34" i="64"/>
  <c r="E34" i="64" s="1"/>
  <c r="AU53" i="61"/>
  <c r="AW53" i="61" s="1"/>
  <c r="C35" i="64"/>
  <c r="E35" i="64" s="1"/>
  <c r="AU54" i="61"/>
  <c r="AW54" i="61" s="1"/>
  <c r="D30" i="64"/>
  <c r="H6" i="63"/>
  <c r="AV48" i="61"/>
  <c r="C33" i="35"/>
  <c r="C38" i="35" s="1"/>
  <c r="C39" i="35" s="1"/>
  <c r="D39" i="35" s="1"/>
  <c r="AW87" i="61"/>
  <c r="AU88" i="61"/>
  <c r="AT6" i="61"/>
  <c r="K11" i="64"/>
  <c r="E56" i="64"/>
  <c r="D31" i="35"/>
  <c r="D17" i="42"/>
  <c r="A20" i="42" s="1"/>
  <c r="L17" i="42"/>
  <c r="O17" i="42"/>
  <c r="B24" i="42" s="1"/>
  <c r="C23" i="42" s="1"/>
  <c r="Q13" i="42"/>
  <c r="P13" i="42"/>
  <c r="Q11" i="42"/>
  <c r="P11" i="42"/>
  <c r="Q9" i="42"/>
  <c r="P9" i="42"/>
  <c r="Q7" i="42"/>
  <c r="P7" i="42"/>
  <c r="Q5" i="42"/>
  <c r="P5" i="42"/>
  <c r="D18" i="33"/>
  <c r="B24" i="33" s="1"/>
  <c r="L18" i="33"/>
  <c r="O18" i="33"/>
  <c r="B25" i="33" s="1"/>
  <c r="C24" i="33" s="1"/>
  <c r="Q15" i="33"/>
  <c r="P15" i="33"/>
  <c r="Q8" i="33"/>
  <c r="P8" i="33"/>
  <c r="Q13" i="33"/>
  <c r="P13" i="33"/>
  <c r="Q11" i="33"/>
  <c r="P11" i="33"/>
  <c r="Q6" i="33"/>
  <c r="P6" i="33"/>
  <c r="Q4" i="33"/>
  <c r="P4" i="33"/>
  <c r="D28" i="64" l="1"/>
  <c r="H4" i="63"/>
  <c r="AV46" i="61"/>
  <c r="C26" i="33"/>
  <c r="C31" i="33" s="1"/>
  <c r="A21" i="33"/>
  <c r="B23" i="42"/>
  <c r="D23" i="42" s="1"/>
  <c r="H5" i="63"/>
  <c r="D29" i="64"/>
  <c r="AV47" i="61"/>
  <c r="C25" i="42"/>
  <c r="C30" i="42" s="1"/>
  <c r="C31" i="42" s="1"/>
  <c r="D31" i="42" s="1"/>
  <c r="C30" i="64"/>
  <c r="E30" i="64" s="1"/>
  <c r="AU48" i="61"/>
  <c r="AW48" i="61" s="1"/>
  <c r="D24" i="33"/>
  <c r="C32" i="33"/>
  <c r="D32" i="33" s="1"/>
  <c r="H14" i="63" l="1"/>
  <c r="C29" i="64"/>
  <c r="E29" i="64" s="1"/>
  <c r="AU47" i="61"/>
  <c r="AW47" i="61" s="1"/>
  <c r="C28" i="64"/>
  <c r="AU46" i="61"/>
  <c r="I18" i="63"/>
  <c r="AV61" i="61"/>
  <c r="D37" i="64"/>
  <c r="K17" i="64" s="1"/>
  <c r="D26" i="51"/>
  <c r="D23" i="51"/>
  <c r="A26" i="51" s="1"/>
  <c r="L23" i="51"/>
  <c r="C26" i="51" s="1"/>
  <c r="L25" i="62" s="1"/>
  <c r="O25" i="62" s="1"/>
  <c r="O23" i="51"/>
  <c r="B30" i="51" s="1"/>
  <c r="C29" i="51" s="1"/>
  <c r="Q22" i="51"/>
  <c r="P22" i="51"/>
  <c r="Q17" i="51"/>
  <c r="P17" i="51"/>
  <c r="Q15" i="51"/>
  <c r="P15" i="51"/>
  <c r="Q13" i="51"/>
  <c r="P13" i="51"/>
  <c r="Q11" i="51"/>
  <c r="P11" i="51"/>
  <c r="Q8" i="51"/>
  <c r="P8" i="51"/>
  <c r="Q4" i="51"/>
  <c r="P4" i="51"/>
  <c r="D24" i="50"/>
  <c r="D21" i="50"/>
  <c r="B27" i="50" s="1"/>
  <c r="L21" i="50"/>
  <c r="O21" i="50"/>
  <c r="B28" i="50" s="1"/>
  <c r="C27" i="50" s="1"/>
  <c r="Q17" i="50"/>
  <c r="P17" i="50"/>
  <c r="Q10" i="50"/>
  <c r="P10" i="50"/>
  <c r="Q15" i="50"/>
  <c r="P15" i="50"/>
  <c r="Q13" i="50"/>
  <c r="P13" i="50"/>
  <c r="Q8" i="50"/>
  <c r="P8" i="50"/>
  <c r="Q6" i="50"/>
  <c r="P6" i="50"/>
  <c r="Q4" i="50"/>
  <c r="P4" i="50"/>
  <c r="D29" i="47"/>
  <c r="D26" i="47"/>
  <c r="B32" i="47" s="1"/>
  <c r="L26" i="47"/>
  <c r="O26" i="47"/>
  <c r="B33" i="47" s="1"/>
  <c r="C32" i="47" s="1"/>
  <c r="Q22" i="47"/>
  <c r="P22" i="47"/>
  <c r="Q11" i="47"/>
  <c r="P11" i="47"/>
  <c r="Q18" i="47"/>
  <c r="Q20" i="47"/>
  <c r="P20" i="47"/>
  <c r="Q9" i="47"/>
  <c r="P9" i="47"/>
  <c r="Q7" i="47"/>
  <c r="P7" i="47"/>
  <c r="Q5" i="47"/>
  <c r="P5" i="47"/>
  <c r="D29" i="45"/>
  <c r="D26" i="45"/>
  <c r="B32" i="45" s="1"/>
  <c r="L26" i="45"/>
  <c r="O26" i="45"/>
  <c r="B33" i="45" s="1"/>
  <c r="C32" i="45" s="1"/>
  <c r="Q21" i="45"/>
  <c r="P21" i="45"/>
  <c r="Q18" i="45"/>
  <c r="P18" i="45"/>
  <c r="Q14" i="45"/>
  <c r="P14" i="45"/>
  <c r="Q12" i="45"/>
  <c r="P12" i="45"/>
  <c r="Q4" i="45"/>
  <c r="P4" i="45"/>
  <c r="D32" i="44"/>
  <c r="D29" i="44"/>
  <c r="B35" i="44" s="1"/>
  <c r="L29" i="44"/>
  <c r="O29" i="44"/>
  <c r="B36" i="44" s="1"/>
  <c r="C35" i="44" s="1"/>
  <c r="Q26" i="44"/>
  <c r="P26" i="44"/>
  <c r="Q23" i="44"/>
  <c r="P23" i="44"/>
  <c r="Q20" i="44"/>
  <c r="P20" i="44"/>
  <c r="Q17" i="44"/>
  <c r="P17" i="44"/>
  <c r="Q14" i="44"/>
  <c r="P14" i="44"/>
  <c r="Q12" i="44"/>
  <c r="P12" i="44"/>
  <c r="Q5" i="44"/>
  <c r="P5" i="44"/>
  <c r="D12" i="43"/>
  <c r="D9" i="43"/>
  <c r="L9" i="43"/>
  <c r="C12" i="43" s="1"/>
  <c r="L20" i="62" s="1"/>
  <c r="O20" i="62" s="1"/>
  <c r="O9" i="43"/>
  <c r="B16" i="43" s="1"/>
  <c r="C15" i="43" s="1"/>
  <c r="Q8" i="43"/>
  <c r="P8" i="43"/>
  <c r="Q6" i="43"/>
  <c r="P6" i="43"/>
  <c r="Q4" i="43"/>
  <c r="P4" i="43"/>
  <c r="D25" i="38"/>
  <c r="D22" i="38"/>
  <c r="B28" i="38" s="1"/>
  <c r="L22" i="38"/>
  <c r="O22" i="38"/>
  <c r="B29" i="38" s="1"/>
  <c r="C28" i="38" s="1"/>
  <c r="Q8" i="38"/>
  <c r="P8" i="38"/>
  <c r="Q19" i="38"/>
  <c r="P19" i="38"/>
  <c r="Q17" i="38"/>
  <c r="P17" i="38"/>
  <c r="Q15" i="38"/>
  <c r="P15" i="38"/>
  <c r="Q13" i="38"/>
  <c r="P13" i="38"/>
  <c r="Q6" i="38"/>
  <c r="P6" i="38"/>
  <c r="Q4" i="38"/>
  <c r="P4" i="38"/>
  <c r="A12" i="43" l="1"/>
  <c r="P22" i="38"/>
  <c r="D17" i="64"/>
  <c r="C11" i="63"/>
  <c r="AV34" i="61"/>
  <c r="B36" i="38"/>
  <c r="B30" i="38"/>
  <c r="C30" i="38"/>
  <c r="C38" i="38" s="1"/>
  <c r="C39" i="38" s="1"/>
  <c r="A25" i="38"/>
  <c r="F12" i="43"/>
  <c r="B15" i="43"/>
  <c r="D19" i="64"/>
  <c r="C12" i="63"/>
  <c r="AV36" i="61"/>
  <c r="B43" i="44"/>
  <c r="B37" i="44"/>
  <c r="B45" i="44" s="1"/>
  <c r="B46" i="44" s="1"/>
  <c r="C37" i="44"/>
  <c r="C45" i="44" s="1"/>
  <c r="C46" i="44" s="1"/>
  <c r="A32" i="44"/>
  <c r="C13" i="63"/>
  <c r="D20" i="64"/>
  <c r="AV37" i="61"/>
  <c r="B40" i="45"/>
  <c r="B34" i="45"/>
  <c r="C34" i="45"/>
  <c r="C42" i="45" s="1"/>
  <c r="C43" i="45" s="1"/>
  <c r="A29" i="45"/>
  <c r="D21" i="64"/>
  <c r="C14" i="63"/>
  <c r="AV38" i="61"/>
  <c r="B40" i="47"/>
  <c r="B34" i="47"/>
  <c r="B42" i="47" s="1"/>
  <c r="B43" i="47" s="1"/>
  <c r="C34" i="47"/>
  <c r="C42" i="47" s="1"/>
  <c r="C43" i="47" s="1"/>
  <c r="A29" i="47"/>
  <c r="C15" i="63"/>
  <c r="D22" i="64"/>
  <c r="AV39" i="61"/>
  <c r="B35" i="50"/>
  <c r="B29" i="50"/>
  <c r="C29" i="50"/>
  <c r="C37" i="50" s="1"/>
  <c r="A24" i="50"/>
  <c r="F26" i="51"/>
  <c r="B29" i="51"/>
  <c r="AW46" i="61"/>
  <c r="AU61" i="61"/>
  <c r="Q22" i="38"/>
  <c r="C25" i="38"/>
  <c r="L19" i="62" s="1"/>
  <c r="O19" i="62" s="1"/>
  <c r="F25" i="38"/>
  <c r="D18" i="64"/>
  <c r="AV35" i="61"/>
  <c r="B11" i="57"/>
  <c r="B23" i="43"/>
  <c r="B17" i="43"/>
  <c r="C17" i="43"/>
  <c r="C25" i="43" s="1"/>
  <c r="C32" i="44"/>
  <c r="L21" i="62" s="1"/>
  <c r="O21" i="62" s="1"/>
  <c r="F32" i="44"/>
  <c r="C29" i="45"/>
  <c r="L22" i="62" s="1"/>
  <c r="O22" i="62" s="1"/>
  <c r="F29" i="45"/>
  <c r="C29" i="47"/>
  <c r="L23" i="62" s="1"/>
  <c r="O23" i="62" s="1"/>
  <c r="F29" i="47"/>
  <c r="C24" i="50"/>
  <c r="L24" i="62" s="1"/>
  <c r="O24" i="62" s="1"/>
  <c r="F24" i="50"/>
  <c r="D23" i="64"/>
  <c r="C16" i="63"/>
  <c r="AV40" i="61"/>
  <c r="B37" i="51"/>
  <c r="B31" i="51"/>
  <c r="C31" i="51"/>
  <c r="C39" i="51" s="1"/>
  <c r="C40" i="51" s="1"/>
  <c r="C37" i="64"/>
  <c r="E28" i="64"/>
  <c r="C38" i="50"/>
  <c r="D27" i="50"/>
  <c r="D32" i="47"/>
  <c r="D32" i="45"/>
  <c r="D35" i="44"/>
  <c r="C26" i="43"/>
  <c r="D15" i="43"/>
  <c r="D28" i="38"/>
  <c r="D24" i="34"/>
  <c r="D21" i="34"/>
  <c r="A24" i="34" s="1"/>
  <c r="L21" i="34"/>
  <c r="C24" i="34" s="1"/>
  <c r="L17" i="62" s="1"/>
  <c r="O17" i="62" s="1"/>
  <c r="O21" i="34"/>
  <c r="B28" i="34" s="1"/>
  <c r="C27" i="34" s="1"/>
  <c r="Q12" i="34"/>
  <c r="P12" i="34"/>
  <c r="Q7" i="34"/>
  <c r="P7" i="34"/>
  <c r="Q19" i="34"/>
  <c r="P19" i="34"/>
  <c r="Q17" i="34"/>
  <c r="P17" i="34"/>
  <c r="Q15" i="34"/>
  <c r="P15" i="34"/>
  <c r="Q10" i="34"/>
  <c r="P10" i="34"/>
  <c r="Q5" i="34"/>
  <c r="P5" i="34"/>
  <c r="D23" i="31"/>
  <c r="D20" i="31"/>
  <c r="B26" i="31" s="1"/>
  <c r="L20" i="31"/>
  <c r="O20" i="31"/>
  <c r="B27" i="31" s="1"/>
  <c r="C26" i="31" s="1"/>
  <c r="Q18" i="31"/>
  <c r="P18" i="31"/>
  <c r="Q16" i="31"/>
  <c r="P16" i="31"/>
  <c r="Q14" i="31"/>
  <c r="P14" i="31"/>
  <c r="Q12" i="31"/>
  <c r="P12" i="31"/>
  <c r="Q10" i="31"/>
  <c r="P10" i="31"/>
  <c r="Q8" i="31"/>
  <c r="P8" i="31"/>
  <c r="Q6" i="31"/>
  <c r="P6" i="31"/>
  <c r="Q4" i="31"/>
  <c r="P4" i="31"/>
  <c r="D29" i="30"/>
  <c r="D26" i="30"/>
  <c r="L26" i="30"/>
  <c r="C29" i="30" s="1"/>
  <c r="L15" i="62" s="1"/>
  <c r="O15" i="62" s="1"/>
  <c r="O26" i="30"/>
  <c r="B33" i="30" s="1"/>
  <c r="C32" i="30" s="1"/>
  <c r="Q25" i="30"/>
  <c r="P25" i="30"/>
  <c r="Q23" i="30"/>
  <c r="P23" i="30"/>
  <c r="Q21" i="30"/>
  <c r="P21" i="30"/>
  <c r="Q19" i="30"/>
  <c r="P19" i="30"/>
  <c r="Q17" i="30"/>
  <c r="P17" i="30"/>
  <c r="Q15" i="30"/>
  <c r="P15" i="30"/>
  <c r="Q13" i="30"/>
  <c r="P13" i="30"/>
  <c r="Q11" i="30"/>
  <c r="P11" i="30"/>
  <c r="Q9" i="30"/>
  <c r="P9" i="30"/>
  <c r="Q7" i="30"/>
  <c r="P7" i="30"/>
  <c r="Q5" i="30"/>
  <c r="P5" i="30"/>
  <c r="A29" i="30" l="1"/>
  <c r="D46" i="44"/>
  <c r="D43" i="47"/>
  <c r="C21" i="64" s="1"/>
  <c r="E21" i="64" s="1"/>
  <c r="F29" i="30"/>
  <c r="B32" i="30"/>
  <c r="D32" i="30" s="1"/>
  <c r="D14" i="64"/>
  <c r="AV31" i="61"/>
  <c r="B34" i="31"/>
  <c r="B10" i="57"/>
  <c r="B28" i="31"/>
  <c r="C28" i="31"/>
  <c r="C36" i="31" s="1"/>
  <c r="A23" i="31"/>
  <c r="F24" i="34"/>
  <c r="B27" i="34"/>
  <c r="C19" i="64"/>
  <c r="E19" i="64" s="1"/>
  <c r="AU36" i="61"/>
  <c r="AW36" i="61" s="1"/>
  <c r="D37" i="51"/>
  <c r="G26" i="51"/>
  <c r="G12" i="43"/>
  <c r="D23" i="43"/>
  <c r="D35" i="50"/>
  <c r="G24" i="50"/>
  <c r="D40" i="45"/>
  <c r="G29" i="45"/>
  <c r="D36" i="38"/>
  <c r="G25" i="38"/>
  <c r="D13" i="64"/>
  <c r="C9" i="63"/>
  <c r="AV30" i="61"/>
  <c r="B40" i="30"/>
  <c r="B34" i="30"/>
  <c r="C34" i="30"/>
  <c r="C42" i="30" s="1"/>
  <c r="C43" i="30" s="1"/>
  <c r="C23" i="31"/>
  <c r="L16" i="62" s="1"/>
  <c r="O16" i="62" s="1"/>
  <c r="F23" i="31"/>
  <c r="D15" i="64"/>
  <c r="C10" i="63"/>
  <c r="AV32" i="61"/>
  <c r="B35" i="34"/>
  <c r="B29" i="34"/>
  <c r="C29" i="34"/>
  <c r="C37" i="34" s="1"/>
  <c r="C38" i="34" s="1"/>
  <c r="K10" i="64"/>
  <c r="E37" i="64"/>
  <c r="B39" i="51"/>
  <c r="B25" i="43"/>
  <c r="B26" i="43" s="1"/>
  <c r="D26" i="43" s="1"/>
  <c r="AW61" i="61"/>
  <c r="AU62" i="61"/>
  <c r="AT5" i="61"/>
  <c r="B40" i="51"/>
  <c r="D40" i="51" s="1"/>
  <c r="B37" i="50"/>
  <c r="B38" i="50" s="1"/>
  <c r="D38" i="50" s="1"/>
  <c r="D40" i="47"/>
  <c r="G29" i="47"/>
  <c r="B42" i="45"/>
  <c r="B43" i="45" s="1"/>
  <c r="D43" i="45" s="1"/>
  <c r="D43" i="44"/>
  <c r="G32" i="44"/>
  <c r="B38" i="38"/>
  <c r="B39" i="38" s="1"/>
  <c r="D39" i="38" s="1"/>
  <c r="D29" i="51"/>
  <c r="D27" i="34"/>
  <c r="C37" i="31"/>
  <c r="D26" i="31"/>
  <c r="D22" i="26"/>
  <c r="D19" i="26"/>
  <c r="B25" i="26" s="1"/>
  <c r="L19" i="26"/>
  <c r="O19" i="26"/>
  <c r="B26" i="26" s="1"/>
  <c r="C25" i="26" s="1"/>
  <c r="Q11" i="26"/>
  <c r="P11" i="26"/>
  <c r="Q8" i="26"/>
  <c r="P8" i="26"/>
  <c r="Q6" i="26"/>
  <c r="P6" i="26"/>
  <c r="Q4" i="26"/>
  <c r="P4" i="26"/>
  <c r="D18" i="25"/>
  <c r="D15" i="25"/>
  <c r="L15" i="25"/>
  <c r="C18" i="25" s="1"/>
  <c r="L13" i="62" s="1"/>
  <c r="O13" i="62" s="1"/>
  <c r="O15" i="25"/>
  <c r="B22" i="25" s="1"/>
  <c r="C21" i="25" s="1"/>
  <c r="Q13" i="25"/>
  <c r="P13" i="25"/>
  <c r="Q11" i="25"/>
  <c r="P11" i="25"/>
  <c r="Q4" i="25"/>
  <c r="P4" i="25"/>
  <c r="D39" i="21"/>
  <c r="D36" i="21"/>
  <c r="B42" i="21" s="1"/>
  <c r="L36" i="21"/>
  <c r="O36" i="21"/>
  <c r="B43" i="21" s="1"/>
  <c r="C42" i="21" s="1"/>
  <c r="Q35" i="21"/>
  <c r="P35" i="21"/>
  <c r="Q30" i="21"/>
  <c r="P30" i="21"/>
  <c r="Q27" i="21"/>
  <c r="P27" i="21"/>
  <c r="Q24" i="21"/>
  <c r="P24" i="21"/>
  <c r="Q21" i="21"/>
  <c r="P21" i="21"/>
  <c r="Q18" i="21"/>
  <c r="P18" i="21"/>
  <c r="Q15" i="21"/>
  <c r="P15" i="21"/>
  <c r="Q12" i="21"/>
  <c r="P12" i="21"/>
  <c r="Q9" i="21"/>
  <c r="P9" i="21"/>
  <c r="Q6" i="21"/>
  <c r="P6" i="21"/>
  <c r="Q33" i="21"/>
  <c r="P33" i="21"/>
  <c r="Q4" i="21"/>
  <c r="P4" i="21"/>
  <c r="D32" i="18"/>
  <c r="D29" i="18"/>
  <c r="L29" i="18"/>
  <c r="C32" i="18" s="1"/>
  <c r="L11" i="62" s="1"/>
  <c r="O11" i="62" s="1"/>
  <c r="O29" i="18"/>
  <c r="B36" i="18" s="1"/>
  <c r="C35" i="18" s="1"/>
  <c r="Q28" i="18"/>
  <c r="P28" i="18"/>
  <c r="Q6" i="18"/>
  <c r="P6" i="18"/>
  <c r="Q26" i="18"/>
  <c r="P26" i="18"/>
  <c r="Q24" i="18"/>
  <c r="P24" i="18"/>
  <c r="Q22" i="18"/>
  <c r="P22" i="18"/>
  <c r="Q20" i="18"/>
  <c r="P20" i="18"/>
  <c r="Q18" i="18"/>
  <c r="P18" i="18"/>
  <c r="Q16" i="18"/>
  <c r="P16" i="18"/>
  <c r="Q14" i="18"/>
  <c r="P14" i="18"/>
  <c r="Q12" i="18"/>
  <c r="P12" i="18"/>
  <c r="Q10" i="18"/>
  <c r="P10" i="18"/>
  <c r="Q4" i="18"/>
  <c r="P4" i="18"/>
  <c r="D26" i="17"/>
  <c r="D23" i="17"/>
  <c r="B29" i="17" s="1"/>
  <c r="L23" i="17"/>
  <c r="O23" i="17"/>
  <c r="B30" i="17" s="1"/>
  <c r="C29" i="17" s="1"/>
  <c r="Q22" i="17"/>
  <c r="P22" i="17"/>
  <c r="Q20" i="17"/>
  <c r="P20" i="17"/>
  <c r="Q18" i="17"/>
  <c r="P18" i="17"/>
  <c r="Q16" i="17"/>
  <c r="P16" i="17"/>
  <c r="Q14" i="17"/>
  <c r="P14" i="17"/>
  <c r="Q12" i="17"/>
  <c r="P12" i="17"/>
  <c r="Q10" i="17"/>
  <c r="P10" i="17"/>
  <c r="Q8" i="17"/>
  <c r="P8" i="17"/>
  <c r="Q6" i="17"/>
  <c r="P6" i="17"/>
  <c r="Q4" i="17"/>
  <c r="P4" i="17"/>
  <c r="D28" i="16"/>
  <c r="D25" i="16"/>
  <c r="B31" i="16" s="1"/>
  <c r="L25" i="16"/>
  <c r="O25" i="16"/>
  <c r="B32" i="16" s="1"/>
  <c r="C31" i="16" s="1"/>
  <c r="Q24" i="16"/>
  <c r="P24" i="16"/>
  <c r="Q22" i="16"/>
  <c r="P22" i="16"/>
  <c r="Q20" i="16"/>
  <c r="P20" i="16"/>
  <c r="Q15" i="16"/>
  <c r="P15" i="16"/>
  <c r="Q13" i="16"/>
  <c r="P13" i="16"/>
  <c r="Q11" i="16"/>
  <c r="P11" i="16"/>
  <c r="Q9" i="16"/>
  <c r="P9" i="16"/>
  <c r="Q7" i="16"/>
  <c r="P7" i="16"/>
  <c r="Q17" i="16"/>
  <c r="P17" i="16"/>
  <c r="Q4" i="16"/>
  <c r="P4" i="16"/>
  <c r="D26" i="13"/>
  <c r="D23" i="13"/>
  <c r="L23" i="13"/>
  <c r="C26" i="13" s="1"/>
  <c r="L8" i="62" s="1"/>
  <c r="O8" i="62" s="1"/>
  <c r="Q21" i="13"/>
  <c r="O21" i="13"/>
  <c r="P21" i="13" s="1"/>
  <c r="Q19" i="13"/>
  <c r="O19" i="13"/>
  <c r="P19" i="13" s="1"/>
  <c r="Q17" i="13"/>
  <c r="O17" i="13"/>
  <c r="P17" i="13" s="1"/>
  <c r="Q15" i="13"/>
  <c r="O15" i="13"/>
  <c r="P15" i="13" s="1"/>
  <c r="Q13" i="13"/>
  <c r="O13" i="13"/>
  <c r="P13" i="13" s="1"/>
  <c r="Q11" i="13"/>
  <c r="O11" i="13"/>
  <c r="P11" i="13" s="1"/>
  <c r="Q9" i="13"/>
  <c r="O9" i="13"/>
  <c r="P9" i="13" s="1"/>
  <c r="Q7" i="13"/>
  <c r="O7" i="13"/>
  <c r="P7" i="13" s="1"/>
  <c r="Q4" i="13"/>
  <c r="O4" i="13"/>
  <c r="P4" i="13" s="1"/>
  <c r="A26" i="13" l="1"/>
  <c r="A18" i="25"/>
  <c r="A32" i="18"/>
  <c r="B36" i="31"/>
  <c r="B37" i="31" s="1"/>
  <c r="D31" i="16"/>
  <c r="AU38" i="61"/>
  <c r="AW38" i="61" s="1"/>
  <c r="D37" i="31"/>
  <c r="AU31" i="61" s="1"/>
  <c r="AW31" i="61" s="1"/>
  <c r="C20" i="64"/>
  <c r="E20" i="64" s="1"/>
  <c r="AU37" i="61"/>
  <c r="AW37" i="61" s="1"/>
  <c r="C18" i="64"/>
  <c r="E18" i="64" s="1"/>
  <c r="AU35" i="61"/>
  <c r="AW35" i="61" s="1"/>
  <c r="O23" i="13"/>
  <c r="B30" i="13" s="1"/>
  <c r="C29" i="13" s="1"/>
  <c r="F26" i="13"/>
  <c r="B29" i="13"/>
  <c r="D7" i="64"/>
  <c r="AV23" i="61"/>
  <c r="B9" i="57"/>
  <c r="B39" i="16"/>
  <c r="B33" i="16"/>
  <c r="B41" i="16" s="1"/>
  <c r="B42" i="16" s="1"/>
  <c r="C33" i="16"/>
  <c r="C41" i="16" s="1"/>
  <c r="C42" i="16" s="1"/>
  <c r="A28" i="16"/>
  <c r="D8" i="64"/>
  <c r="C4" i="63"/>
  <c r="AV24" i="61"/>
  <c r="B37" i="17"/>
  <c r="B31" i="17"/>
  <c r="C31" i="17"/>
  <c r="C39" i="17" s="1"/>
  <c r="C40" i="17" s="1"/>
  <c r="A26" i="17"/>
  <c r="F32" i="18"/>
  <c r="B35" i="18"/>
  <c r="D35" i="18" s="1"/>
  <c r="D10" i="64"/>
  <c r="C6" i="63"/>
  <c r="AV27" i="61"/>
  <c r="B50" i="21"/>
  <c r="B44" i="21"/>
  <c r="B52" i="21" s="1"/>
  <c r="B53" i="21" s="1"/>
  <c r="C44" i="21"/>
  <c r="C52" i="21" s="1"/>
  <c r="A39" i="21"/>
  <c r="F18" i="25"/>
  <c r="B21" i="25"/>
  <c r="D12" i="64"/>
  <c r="C8" i="63"/>
  <c r="AV29" i="61"/>
  <c r="B33" i="26"/>
  <c r="B27" i="26"/>
  <c r="C27" i="26"/>
  <c r="C35" i="26" s="1"/>
  <c r="C14" i="64"/>
  <c r="E14" i="64" s="1"/>
  <c r="C22" i="64"/>
  <c r="E22" i="64" s="1"/>
  <c r="AU39" i="61"/>
  <c r="AW39" i="61" s="1"/>
  <c r="C23" i="64"/>
  <c r="E23" i="64" s="1"/>
  <c r="AU40" i="61"/>
  <c r="AW40" i="61" s="1"/>
  <c r="G24" i="34"/>
  <c r="D35" i="34"/>
  <c r="G29" i="30"/>
  <c r="D40" i="30"/>
  <c r="D6" i="64"/>
  <c r="AV22" i="61"/>
  <c r="B37" i="13"/>
  <c r="B8" i="57"/>
  <c r="B31" i="13"/>
  <c r="B39" i="13" s="1"/>
  <c r="B40" i="13" s="1"/>
  <c r="C31" i="13"/>
  <c r="C39" i="13" s="1"/>
  <c r="C28" i="16"/>
  <c r="L9" i="62" s="1"/>
  <c r="O9" i="62" s="1"/>
  <c r="F28" i="16"/>
  <c r="C26" i="17"/>
  <c r="L10" i="62" s="1"/>
  <c r="O10" i="62" s="1"/>
  <c r="F26" i="17"/>
  <c r="D9" i="64"/>
  <c r="C5" i="63"/>
  <c r="AV25" i="61"/>
  <c r="B43" i="18"/>
  <c r="B37" i="18"/>
  <c r="B45" i="18" s="1"/>
  <c r="B46" i="18" s="1"/>
  <c r="C37" i="18"/>
  <c r="C45" i="18" s="1"/>
  <c r="C39" i="21"/>
  <c r="L12" i="62" s="1"/>
  <c r="O12" i="62" s="1"/>
  <c r="F39" i="21"/>
  <c r="D11" i="64"/>
  <c r="C7" i="63"/>
  <c r="AV28" i="61"/>
  <c r="B29" i="25"/>
  <c r="B23" i="25"/>
  <c r="B31" i="25" s="1"/>
  <c r="C23" i="25"/>
  <c r="C31" i="25" s="1"/>
  <c r="C32" i="25" s="1"/>
  <c r="C22" i="26"/>
  <c r="L14" i="62" s="1"/>
  <c r="O14" i="62" s="1"/>
  <c r="F22" i="26"/>
  <c r="C17" i="64"/>
  <c r="E17" i="64" s="1"/>
  <c r="AU34" i="61"/>
  <c r="AW34" i="61" s="1"/>
  <c r="B37" i="34"/>
  <c r="B38" i="34" s="1"/>
  <c r="B42" i="30"/>
  <c r="B43" i="30" s="1"/>
  <c r="D43" i="30" s="1"/>
  <c r="D34" i="31"/>
  <c r="G23" i="31"/>
  <c r="D38" i="34"/>
  <c r="C36" i="26"/>
  <c r="D25" i="26"/>
  <c r="C53" i="21"/>
  <c r="D42" i="21"/>
  <c r="C46" i="18"/>
  <c r="D46" i="18" s="1"/>
  <c r="D29" i="17"/>
  <c r="C40" i="13"/>
  <c r="D29" i="13"/>
  <c r="D26" i="12"/>
  <c r="D23" i="12"/>
  <c r="L23" i="12"/>
  <c r="C26" i="12" s="1"/>
  <c r="L7" i="62" s="1"/>
  <c r="O7" i="62" s="1"/>
  <c r="Q8" i="12"/>
  <c r="Q21" i="12"/>
  <c r="Q19" i="12"/>
  <c r="Q17" i="12"/>
  <c r="Q15" i="12"/>
  <c r="Q13" i="12"/>
  <c r="Q11" i="12"/>
  <c r="Q6" i="12"/>
  <c r="Q4" i="12"/>
  <c r="O8" i="12"/>
  <c r="P8" i="12" s="1"/>
  <c r="O21" i="12"/>
  <c r="P21" i="12" s="1"/>
  <c r="O19" i="12"/>
  <c r="P19" i="12" s="1"/>
  <c r="O17" i="12"/>
  <c r="P17" i="12" s="1"/>
  <c r="O15" i="12"/>
  <c r="P15" i="12" s="1"/>
  <c r="O13" i="12"/>
  <c r="P13" i="12" s="1"/>
  <c r="O11" i="12"/>
  <c r="P11" i="12" s="1"/>
  <c r="O6" i="12"/>
  <c r="O4" i="12"/>
  <c r="P4" i="12" s="1"/>
  <c r="D22" i="11"/>
  <c r="D19" i="11"/>
  <c r="L19" i="11"/>
  <c r="C22" i="11" s="1"/>
  <c r="L6" i="62" s="1"/>
  <c r="O6" i="62" s="1"/>
  <c r="O19" i="11"/>
  <c r="B26" i="11" s="1"/>
  <c r="C25" i="11" s="1"/>
  <c r="Q17" i="11"/>
  <c r="P17" i="11"/>
  <c r="Q12" i="11"/>
  <c r="P12" i="11"/>
  <c r="Q7" i="11"/>
  <c r="P7" i="11"/>
  <c r="Q14" i="11"/>
  <c r="P14" i="11"/>
  <c r="Q9" i="11"/>
  <c r="P9" i="11"/>
  <c r="Q4" i="11"/>
  <c r="P4" i="11"/>
  <c r="A22" i="11" l="1"/>
  <c r="O23" i="12"/>
  <c r="B30" i="12" s="1"/>
  <c r="C29" i="12" s="1"/>
  <c r="B32" i="25"/>
  <c r="D32" i="25" s="1"/>
  <c r="D42" i="16"/>
  <c r="AU23" i="61" s="1"/>
  <c r="AW23" i="61" s="1"/>
  <c r="A26" i="12"/>
  <c r="C7" i="64"/>
  <c r="E7" i="64" s="1"/>
  <c r="F22" i="11"/>
  <c r="B25" i="11"/>
  <c r="D25" i="11" s="1"/>
  <c r="P6" i="12"/>
  <c r="F26" i="12"/>
  <c r="B29" i="12"/>
  <c r="C9" i="64"/>
  <c r="E9" i="64" s="1"/>
  <c r="AU25" i="61"/>
  <c r="AW25" i="61" s="1"/>
  <c r="C13" i="64"/>
  <c r="E13" i="64" s="1"/>
  <c r="AU30" i="61"/>
  <c r="AW30" i="61" s="1"/>
  <c r="C15" i="64"/>
  <c r="E15" i="64" s="1"/>
  <c r="AU32" i="61"/>
  <c r="AW32" i="61" s="1"/>
  <c r="G26" i="13"/>
  <c r="D37" i="13"/>
  <c r="D33" i="26"/>
  <c r="G22" i="26"/>
  <c r="D37" i="17"/>
  <c r="G26" i="17"/>
  <c r="C17" i="63"/>
  <c r="D4" i="64"/>
  <c r="AV20" i="61"/>
  <c r="B33" i="11"/>
  <c r="B6" i="57"/>
  <c r="C27" i="11"/>
  <c r="C35" i="11" s="1"/>
  <c r="C36" i="11" s="1"/>
  <c r="B27" i="11"/>
  <c r="D5" i="64"/>
  <c r="AV21" i="61"/>
  <c r="B7" i="57"/>
  <c r="B37" i="12"/>
  <c r="B31" i="12"/>
  <c r="C31" i="12"/>
  <c r="C39" i="12" s="1"/>
  <c r="C40" i="12" s="1"/>
  <c r="D21" i="25"/>
  <c r="G18" i="25"/>
  <c r="D29" i="25"/>
  <c r="G32" i="18"/>
  <c r="D43" i="18"/>
  <c r="B35" i="26"/>
  <c r="B36" i="26" s="1"/>
  <c r="D36" i="26" s="1"/>
  <c r="D50" i="21"/>
  <c r="G39" i="21"/>
  <c r="B39" i="17"/>
  <c r="B40" i="17" s="1"/>
  <c r="D40" i="17" s="1"/>
  <c r="D39" i="16"/>
  <c r="G28" i="16"/>
  <c r="D40" i="13"/>
  <c r="D53" i="21"/>
  <c r="D29" i="12"/>
  <c r="D16" i="10"/>
  <c r="L16" i="10"/>
  <c r="O16" i="10"/>
  <c r="B23" i="10" s="1"/>
  <c r="C22" i="10" s="1"/>
  <c r="Q15" i="10"/>
  <c r="P15" i="10"/>
  <c r="Q13" i="10"/>
  <c r="P13" i="10"/>
  <c r="Q11" i="10"/>
  <c r="P11" i="10"/>
  <c r="Q9" i="10"/>
  <c r="P9" i="10"/>
  <c r="Q7" i="10"/>
  <c r="P7" i="10"/>
  <c r="Q5" i="10"/>
  <c r="P5" i="10"/>
  <c r="B39" i="12" l="1"/>
  <c r="B40" i="12" s="1"/>
  <c r="D40" i="12" s="1"/>
  <c r="C8" i="64"/>
  <c r="E8" i="64" s="1"/>
  <c r="AU24" i="61"/>
  <c r="AW24" i="61" s="1"/>
  <c r="B22" i="10"/>
  <c r="A19" i="10"/>
  <c r="C11" i="64"/>
  <c r="E11" i="64" s="1"/>
  <c r="AU28" i="61"/>
  <c r="AW28" i="61" s="1"/>
  <c r="G22" i="11"/>
  <c r="D33" i="11"/>
  <c r="C12" i="64"/>
  <c r="E12" i="64" s="1"/>
  <c r="AU29" i="61"/>
  <c r="AW29" i="61" s="1"/>
  <c r="D3" i="64"/>
  <c r="D24" i="64" s="1"/>
  <c r="K16" i="64" s="1"/>
  <c r="K20" i="64" s="1"/>
  <c r="AV19" i="61"/>
  <c r="AV41" i="61" s="1"/>
  <c r="B5" i="57"/>
  <c r="C24" i="10"/>
  <c r="C32" i="10" s="1"/>
  <c r="C33" i="10" s="1"/>
  <c r="L5" i="62"/>
  <c r="C10" i="64"/>
  <c r="E10" i="64" s="1"/>
  <c r="AU27" i="61"/>
  <c r="AW27" i="61" s="1"/>
  <c r="C6" i="64"/>
  <c r="E6" i="64" s="1"/>
  <c r="AU22" i="61"/>
  <c r="AW22" i="61" s="1"/>
  <c r="D37" i="12"/>
  <c r="G26" i="12"/>
  <c r="B35" i="11"/>
  <c r="B36" i="11" s="1"/>
  <c r="D36" i="11" s="1"/>
  <c r="C25" i="63"/>
  <c r="I19" i="63"/>
  <c r="I17" i="63"/>
  <c r="H15" i="63"/>
  <c r="P22" i="14"/>
  <c r="Q22" i="14"/>
  <c r="P26" i="9"/>
  <c r="Q26" i="9"/>
  <c r="Q23" i="27"/>
  <c r="P23" i="27"/>
  <c r="Q24" i="24"/>
  <c r="P24" i="24"/>
  <c r="Q23" i="8"/>
  <c r="P23" i="8"/>
  <c r="Q7" i="2"/>
  <c r="P7" i="2"/>
  <c r="Q18" i="46"/>
  <c r="P18" i="46"/>
  <c r="Q21" i="20"/>
  <c r="P21" i="20"/>
  <c r="Q12" i="6"/>
  <c r="P12" i="6"/>
  <c r="P20" i="32"/>
  <c r="Q20" i="32"/>
  <c r="Q21" i="49"/>
  <c r="P21" i="49"/>
  <c r="Q22" i="36"/>
  <c r="P22" i="36"/>
  <c r="P21" i="23"/>
  <c r="Q21" i="23"/>
  <c r="Q17" i="3"/>
  <c r="P17" i="3"/>
  <c r="Q22" i="15"/>
  <c r="P22" i="15"/>
  <c r="Q21" i="19"/>
  <c r="P21" i="19"/>
  <c r="Q24" i="5"/>
  <c r="P24" i="5"/>
  <c r="Q24" i="40"/>
  <c r="P24" i="40"/>
  <c r="Q25" i="37"/>
  <c r="P25" i="37"/>
  <c r="Q24" i="7"/>
  <c r="P24" i="7"/>
  <c r="Q9" i="4"/>
  <c r="P9" i="4"/>
  <c r="Q21" i="29"/>
  <c r="P21" i="29"/>
  <c r="Q26" i="48"/>
  <c r="P26" i="48"/>
  <c r="P19" i="22"/>
  <c r="Q19" i="22"/>
  <c r="Q25" i="35"/>
  <c r="P25" i="35"/>
  <c r="Q17" i="42"/>
  <c r="P17" i="42"/>
  <c r="Q18" i="33"/>
  <c r="P18" i="33"/>
  <c r="Q23" i="51"/>
  <c r="P23" i="51"/>
  <c r="Q21" i="50"/>
  <c r="P21" i="50"/>
  <c r="Q26" i="47"/>
  <c r="P26" i="47"/>
  <c r="Q26" i="45"/>
  <c r="Q29" i="44"/>
  <c r="P29" i="44"/>
  <c r="Q9" i="43"/>
  <c r="P9" i="43"/>
  <c r="Q21" i="34"/>
  <c r="P21" i="34"/>
  <c r="Q20" i="31"/>
  <c r="P20" i="31"/>
  <c r="P26" i="30"/>
  <c r="Q26" i="30"/>
  <c r="Q19" i="26"/>
  <c r="P19" i="26"/>
  <c r="Q15" i="25"/>
  <c r="P15" i="25"/>
  <c r="Q36" i="21"/>
  <c r="P36" i="21"/>
  <c r="Q29" i="18"/>
  <c r="P29" i="18"/>
  <c r="Q23" i="17"/>
  <c r="P23" i="17"/>
  <c r="P25" i="16"/>
  <c r="Q25" i="16"/>
  <c r="Q23" i="13"/>
  <c r="P23" i="13"/>
  <c r="Q23" i="12"/>
  <c r="P23" i="12"/>
  <c r="Q19" i="11"/>
  <c r="P19" i="11"/>
  <c r="Q16" i="10"/>
  <c r="P16" i="10"/>
  <c r="AU21" i="61" l="1"/>
  <c r="AW21" i="61" s="1"/>
  <c r="C5" i="64"/>
  <c r="E5" i="64" s="1"/>
  <c r="C4" i="64"/>
  <c r="E4" i="64" s="1"/>
  <c r="AU20" i="61"/>
  <c r="AW20" i="61" s="1"/>
  <c r="D30" i="10"/>
  <c r="L47" i="64"/>
  <c r="AT14" i="61"/>
  <c r="L33" i="64" s="1"/>
  <c r="L26" i="62"/>
  <c r="C27" i="62" s="1"/>
  <c r="O5" i="62"/>
  <c r="B33" i="10"/>
  <c r="D33" i="10" s="1"/>
  <c r="B27" i="57"/>
  <c r="B28" i="57"/>
  <c r="D22" i="10"/>
  <c r="C3" i="64" l="1"/>
  <c r="AU19" i="61"/>
  <c r="E27" i="57"/>
  <c r="B32" i="57"/>
  <c r="C35" i="57" l="1"/>
  <c r="C34" i="57"/>
  <c r="AW19" i="61"/>
  <c r="AU41" i="61"/>
  <c r="C24" i="64"/>
  <c r="E3" i="64"/>
  <c r="AT4" i="61" l="1"/>
  <c r="AU42" i="61"/>
  <c r="AW41" i="61"/>
  <c r="K9" i="64"/>
  <c r="K14" i="64" s="1"/>
  <c r="L20" i="64" s="1"/>
  <c r="E24" i="64"/>
  <c r="K47" i="64" l="1"/>
  <c r="M47" i="64" s="1"/>
  <c r="AT15" i="61"/>
  <c r="AT9" i="61"/>
  <c r="AT11" i="61" l="1"/>
  <c r="AT12" i="61" s="1"/>
  <c r="K33" i="64"/>
  <c r="M33" i="6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M2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agrego eje al tractor y se cambio patas al semi
</t>
        </r>
      </text>
    </comment>
    <comment ref="AM2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11 parados en taller Cerino, fue a suipacha vacio a buscar tanque
</t>
        </r>
      </text>
    </comment>
    <comment ref="AM3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Parado por reparación motor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D5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U$S2149,28 a 183
</t>
        </r>
      </text>
    </comment>
    <comment ref="D7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u4S2109,76 a 183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D13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U$S212040 a 185
</t>
        </r>
      </text>
    </comment>
    <comment ref="D15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u$S2152,32 a 193
</t>
        </r>
      </text>
    </comment>
    <comment ref="D17" authorId="0" shapeId="0" xr:uid="{00000000-0006-0000-0D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U$S 2155,36 a 195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C25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Lo saque del informe de Michelin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Madelen</author>
  </authors>
  <commentList>
    <comment ref="E21" authorId="0" shapeId="0" xr:uid="{00000000-0006-0000-3600-000001000000}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23" authorId="0" shapeId="0" xr:uid="{00000000-0006-0000-3600-000002000000}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25" authorId="0" shapeId="0" xr:uid="{00000000-0006-0000-3600-000003000000}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3" authorId="0" shapeId="0" xr:uid="{779DF34C-6DD8-49CB-A743-DAA59BA761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pedir a Facundo</t>
        </r>
      </text>
    </comment>
    <comment ref="H3" authorId="0" shapeId="0" xr:uid="{F08C1FE8-FBA7-47BE-95FD-60F9B48A28E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cantidad de cubiertas varia con el equipo.
Los precios se pueden definir dentro de variables y cambiarlos al momento de generar el informe.
Se puede definir en otras columnas la cantida de cubiertas
</t>
        </r>
      </text>
    </comment>
    <comment ref="I3" authorId="0" shapeId="0" xr:uid="{17AFA64D-5156-43B1-B866-13B0AD8B7C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merge por Equipo con df_comb</t>
        </r>
      </text>
    </comment>
    <comment ref="K3" authorId="0" shapeId="0" xr:uid="{BB9C9C07-133B-4078-8138-EB60B6014C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merge por equipo con planilla impuesto</t>
        </r>
      </text>
    </comment>
    <comment ref="L3" authorId="0" shapeId="0" xr:uid="{E23F59B9-4CAA-4153-8CEC-8E121CFE74B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merge por equipo con planilla impuesto</t>
        </r>
      </text>
    </comment>
    <comment ref="M3" authorId="0" shapeId="0" xr:uid="{AD22010F-3FDF-4EDF-93FD-A59B8FF97B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merge por equipo con planilla seguro</t>
        </r>
      </text>
    </comment>
    <comment ref="N3" authorId="0" shapeId="0" xr:uid="{FF0BF7CA-F780-4CC9-9B72-D6B42063C83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ver mas adelante</t>
        </r>
      </text>
    </comment>
    <comment ref="D9" authorId="0" shapeId="0" xr:uid="{03E4E1D8-7FF4-46D6-8B08-C710F30329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cantidad de cubiertas varia con el equipo.
Los precios se pueden definir dentro de variables y cambiarlos al momento de generar el informe.
Se puede definir en otras columnas la cantida de cubiertas
</t>
        </r>
      </text>
    </comment>
  </commentList>
</comments>
</file>

<file path=xl/sharedStrings.xml><?xml version="1.0" encoding="utf-8"?>
<sst xmlns="http://schemas.openxmlformats.org/spreadsheetml/2006/main" count="16784" uniqueCount="1252">
  <si>
    <t>GLUCOVIL ARGENTINA S.A</t>
  </si>
  <si>
    <t>FaVen Nro.  001500000389 - Fecha 23-10-2021</t>
  </si>
  <si>
    <t>VILLA MERCEDES-GLUCOVIL</t>
  </si>
  <si>
    <t>VIRREY DEL PINO-REFRES NOW</t>
  </si>
  <si>
    <t>TAMES SRL</t>
  </si>
  <si>
    <t>BARRIOS LUCAS JAVIER</t>
  </si>
  <si>
    <t>AA327US</t>
  </si>
  <si>
    <t>CSS710</t>
  </si>
  <si>
    <t>AGUAS GASEOSAS</t>
  </si>
  <si>
    <t>VACIO</t>
  </si>
  <si>
    <t>VACIOS</t>
  </si>
  <si>
    <t>FaVen Nro.  001500000392 - Fecha 31-10-2021</t>
  </si>
  <si>
    <t>CAPITAL FEDERAL-COCA COLA FEMSA BS AS SA</t>
  </si>
  <si>
    <t>Salida</t>
  </si>
  <si>
    <t>Numero</t>
  </si>
  <si>
    <t>Cliente</t>
  </si>
  <si>
    <t>Importe</t>
  </si>
  <si>
    <t>Factura</t>
  </si>
  <si>
    <t>Origen</t>
  </si>
  <si>
    <t>Destino</t>
  </si>
  <si>
    <t>Fletero</t>
  </si>
  <si>
    <t>Chofer</t>
  </si>
  <si>
    <t>Equipo</t>
  </si>
  <si>
    <t>Acoplado</t>
  </si>
  <si>
    <t>Km.Cargas</t>
  </si>
  <si>
    <t>Peso Real transportado</t>
  </si>
  <si>
    <t>Tipo de Mercaderia</t>
  </si>
  <si>
    <t>Comisión</t>
  </si>
  <si>
    <t>Porcentaje Comisión</t>
  </si>
  <si>
    <t>CARLOS SPEGAZZINI-ADITIVOS ALIMENTARIOS SRL</t>
  </si>
  <si>
    <t>ITATI S.R.L.</t>
  </si>
  <si>
    <t>BAIGORRIA ALFREDO RAMON</t>
  </si>
  <si>
    <t>AA612XR</t>
  </si>
  <si>
    <t>KNA503</t>
  </si>
  <si>
    <t>FaVen Nro.  001500000440 - Fecha 09-10-2021</t>
  </si>
  <si>
    <t>MONTE GRANDE-COCA COLA FEMSA DE BS AS SA</t>
  </si>
  <si>
    <t>FaVen Nro.  001500000382 - Fecha 21-10-2021</t>
  </si>
  <si>
    <t>ROSARIO-LELIO GROPPONI SRL</t>
  </si>
  <si>
    <t>GLUCOSA</t>
  </si>
  <si>
    <t>FaVen Nro.  001500000383 - Fecha 21-10-2021</t>
  </si>
  <si>
    <t>MAGDALENA-RODRIGUEZ E HIJOS</t>
  </si>
  <si>
    <t>FaVen Nro.  001500000384 - Fecha 21-10-2021</t>
  </si>
  <si>
    <t>CHASCOMUS-DANONE</t>
  </si>
  <si>
    <t>LA MATANZA-SAF ARGENTINA SA</t>
  </si>
  <si>
    <t>FaVen Nro.  001500000391 - Fecha 31-10-2021</t>
  </si>
  <si>
    <t>BUENOS AIRES-COCA COLA</t>
  </si>
  <si>
    <t>ARROYITO-ARCOR</t>
  </si>
  <si>
    <t>GIACONE ERMINDO FABIAN</t>
  </si>
  <si>
    <t>AA702TE</t>
  </si>
  <si>
    <t>JQG239</t>
  </si>
  <si>
    <t>INGRECOR S.A.</t>
  </si>
  <si>
    <t>FaVen Nro.  001100001326 - Fecha 19-10-2021</t>
  </si>
  <si>
    <t>VILLA MERCEDES-ARCOR</t>
  </si>
  <si>
    <t>CASTILLO JOSE</t>
  </si>
  <si>
    <t>AA996WC</t>
  </si>
  <si>
    <t>PIQ699</t>
  </si>
  <si>
    <t>FaVen Nro.  001500000439 - Fecha 07-10-2021</t>
  </si>
  <si>
    <t>SAN CARLOS CENTRO-LHERITIER</t>
  </si>
  <si>
    <t>VISTA FLORES - TUNUYAN-DULCOR S.A.</t>
  </si>
  <si>
    <t>FaVen Nro.  001500000444 - Fecha 31-10-2021</t>
  </si>
  <si>
    <t>FaVen Nro.  001500000385 - Fecha 21-10-2021</t>
  </si>
  <si>
    <t>GODOY CRUZ-QUILMES</t>
  </si>
  <si>
    <t>LAS HERAS-LA DOLCE SRL</t>
  </si>
  <si>
    <t>S.Y.L. SRL</t>
  </si>
  <si>
    <t>FRIAS WALTER CEFERINO</t>
  </si>
  <si>
    <t>AB206GS</t>
  </si>
  <si>
    <t>KNA504</t>
  </si>
  <si>
    <t>RIO SEGUNDO-GEORGALOS HNOS SA</t>
  </si>
  <si>
    <t>FaVen Nro.  001100001340 - Fecha 23-11-2021</t>
  </si>
  <si>
    <t>LA BANDA - SANTIAGO DEL ESTERO-PRODUNOA S.A.</t>
  </si>
  <si>
    <t>GUAL RUBEN DARIO</t>
  </si>
  <si>
    <t>GUAL JORGE</t>
  </si>
  <si>
    <t>AB595CA</t>
  </si>
  <si>
    <t>GZR380</t>
  </si>
  <si>
    <t>TUCUMAN-ARCOR</t>
  </si>
  <si>
    <t>FaVen Nro.  001100001332 - Fecha 20-10-2021</t>
  </si>
  <si>
    <t>CAPITAL FEDERAL-DIELO S.A.....</t>
  </si>
  <si>
    <t>SAN FERNANDO BS AS-BODEGAS CUVILLIER SA</t>
  </si>
  <si>
    <t>SALTO-BAGLEY</t>
  </si>
  <si>
    <t>BURZACO-CEPAS ARG.</t>
  </si>
  <si>
    <t>GON230</t>
  </si>
  <si>
    <t>CORDOBA-PRITY</t>
  </si>
  <si>
    <t>TRANSPORTE M Y H</t>
  </si>
  <si>
    <t>DE DIEGO IVAN</t>
  </si>
  <si>
    <t>AB631DS</t>
  </si>
  <si>
    <t>GKQ587</t>
  </si>
  <si>
    <t>DE DIEGO HECTOR ATANASIO</t>
  </si>
  <si>
    <t>LOS VALLISTOS TUCUMAN-INDUSTRIAS LACTEAS SRL.</t>
  </si>
  <si>
    <t>BIGAND-MAURI SA</t>
  </si>
  <si>
    <t>TURCHETTI ANGEL Y OTROS</t>
  </si>
  <si>
    <t>BERTOSSI MARCELO</t>
  </si>
  <si>
    <t>AB687SH</t>
  </si>
  <si>
    <t>LEV414</t>
  </si>
  <si>
    <t>CIUDADELA-SIDRERA</t>
  </si>
  <si>
    <t>RANELAGH-REGINALD LEE SA</t>
  </si>
  <si>
    <t>FaVen Nro.  001100001344 - Fecha 23-11-2021</t>
  </si>
  <si>
    <t>SANTA FE-CERVESERIA</t>
  </si>
  <si>
    <t>TRANSPORTE VIAR SA</t>
  </si>
  <si>
    <t>ARCONA VICTOR FABIAN</t>
  </si>
  <si>
    <t>AC121PH</t>
  </si>
  <si>
    <t>POW856</t>
  </si>
  <si>
    <t>CORDOBA-HELACOR</t>
  </si>
  <si>
    <t>2010625060 ESTADIAS</t>
  </si>
  <si>
    <t>FaVen Nro.  001500000398 - Fecha 07-11-2021</t>
  </si>
  <si>
    <t>OGAS ANTONIO MIGUEL</t>
  </si>
  <si>
    <t>AC121PI</t>
  </si>
  <si>
    <t>JAO482</t>
  </si>
  <si>
    <t>FaVen Nro.  001500000387 - Fecha 22-10-2021</t>
  </si>
  <si>
    <t>FaVen Nro.  001500000386 - Fecha 22-10-2021</t>
  </si>
  <si>
    <t>SAUCE VIEJO-CIA.INDUSTRIAL CERVECERA</t>
  </si>
  <si>
    <t>MALTOSA</t>
  </si>
  <si>
    <t>2010656224 ESTADIAS</t>
  </si>
  <si>
    <t>FaVen Nro.  001500000443 - Fecha 31-10-2021</t>
  </si>
  <si>
    <t>2010694253 ESTADIAS</t>
  </si>
  <si>
    <t>FaVen Nro.  001500000393 - Fecha 31-10-2021</t>
  </si>
  <si>
    <t>FaVen Nro.  001500000388 - Fecha 22-10-2021</t>
  </si>
  <si>
    <t>MAURER WALTER</t>
  </si>
  <si>
    <t>AC121PJ</t>
  </si>
  <si>
    <t>AE852ZL</t>
  </si>
  <si>
    <t>2010645664 ESTADIAS</t>
  </si>
  <si>
    <t>FaVen Nro.  001500000394 - Fecha 31-10-2021</t>
  </si>
  <si>
    <t>2201-8092</t>
  </si>
  <si>
    <t>SALDAÑEZ LUIS ALBERTO</t>
  </si>
  <si>
    <t>AC121PK</t>
  </si>
  <si>
    <t>AE852ZM</t>
  </si>
  <si>
    <t>2010625100 ESTADIAS</t>
  </si>
  <si>
    <t>VIRREY DEL PINO-MANAOS</t>
  </si>
  <si>
    <t>FLAMENCO PEDRO</t>
  </si>
  <si>
    <t>AC136AZ</t>
  </si>
  <si>
    <t>GUN567</t>
  </si>
  <si>
    <t>LOS CARDALES-DASBURG S.A.</t>
  </si>
  <si>
    <t>BURZACO-LOS HUARPES SRL</t>
  </si>
  <si>
    <t>GODOY NESTOR RICARDO</t>
  </si>
  <si>
    <t>AC377BI</t>
  </si>
  <si>
    <t>ORN982</t>
  </si>
  <si>
    <t>2010624937 ESTADIAS</t>
  </si>
  <si>
    <t>FaVen Nro.  001500000442 - Fecha 22-10-2021</t>
  </si>
  <si>
    <t>2010663514 ESTADIAS</t>
  </si>
  <si>
    <t>SAN CARLOS - MZA-RPB</t>
  </si>
  <si>
    <t>CAPITAL FEDERAL-ADITIVOS ALIMENTARIOS SRL</t>
  </si>
  <si>
    <t>ARRASCAETA ANTONIO B.</t>
  </si>
  <si>
    <t>AD414GY</t>
  </si>
  <si>
    <t>AD372WJ</t>
  </si>
  <si>
    <t>2010625017 ESTADIAS</t>
  </si>
  <si>
    <t>2010694206 ESTADIAS</t>
  </si>
  <si>
    <t>NARETTO FRANCISCO ANTONIO</t>
  </si>
  <si>
    <t>AD414GZ</t>
  </si>
  <si>
    <t>AD900VK</t>
  </si>
  <si>
    <t>GUALEGUAYCHU-BAGGIO</t>
  </si>
  <si>
    <t>FICETTI ANGEL LEONARDO</t>
  </si>
  <si>
    <t>AD533SA</t>
  </si>
  <si>
    <t>KKM746</t>
  </si>
  <si>
    <t>FERREYRA JUAN ANTONIO</t>
  </si>
  <si>
    <t>BUENANUEVA MIGUEL ANGEL</t>
  </si>
  <si>
    <t>AD864HO</t>
  </si>
  <si>
    <t>LUY751</t>
  </si>
  <si>
    <t>2010663567 ESTADIAS</t>
  </si>
  <si>
    <t>MORENO-SABORIZADAS DEL OESTE SRL</t>
  </si>
  <si>
    <t>2201-8069</t>
  </si>
  <si>
    <t>ARAUJO GUSTAVO MARTIN</t>
  </si>
  <si>
    <t>AE502ET</t>
  </si>
  <si>
    <t>PIQ698</t>
  </si>
  <si>
    <t>GENERAL PACHECO-MONDELEZ ARGENTINA S.A.</t>
  </si>
  <si>
    <t>SAN FRANCISCO-MIGUEL PEIRETTI SRL</t>
  </si>
  <si>
    <t>DIAZ FRANCO SANTIAGO</t>
  </si>
  <si>
    <t>2010688700 ESTADIAS</t>
  </si>
  <si>
    <t>FaVen Nro.  001500000395 - Fecha 31-10-2021</t>
  </si>
  <si>
    <t>LAVALLOL-AVEX S.A.</t>
  </si>
  <si>
    <t>2010688700 REMIS</t>
  </si>
  <si>
    <t>ARCOR S.A.I.C.</t>
  </si>
  <si>
    <t>FaVen Nro.  001100000140 - Fecha 19-10-2021</t>
  </si>
  <si>
    <t>TICINO-TICINO</t>
  </si>
  <si>
    <t>COLONIA CAROYA-ARCOR</t>
  </si>
  <si>
    <t>LUQUE MARIO RENE</t>
  </si>
  <si>
    <t>FWT827</t>
  </si>
  <si>
    <t>VMY280</t>
  </si>
  <si>
    <t>PASTA DE MANI</t>
  </si>
  <si>
    <t>SAN LUIS-ARCOR</t>
  </si>
  <si>
    <t>FaVen Nro.  001100000142 - Fecha 23-11-2021</t>
  </si>
  <si>
    <t>GON266</t>
  </si>
  <si>
    <t>CUGNO GABRIEL ROBERTO</t>
  </si>
  <si>
    <t>CASADO GUSTAVO AGUSTIN</t>
  </si>
  <si>
    <t>HPJ126</t>
  </si>
  <si>
    <t>JIS241</t>
  </si>
  <si>
    <t>ROSARIO-ARCOR</t>
  </si>
  <si>
    <t>FERRERO GABRIEL ORLANDO</t>
  </si>
  <si>
    <t>HVE658</t>
  </si>
  <si>
    <t>KNA507</t>
  </si>
  <si>
    <t>SAN ANTONIO DE LA PAZ-CUEROS CATAMARCA SA</t>
  </si>
  <si>
    <t>GKQ552</t>
  </si>
  <si>
    <t>DE LA RUBIA EMANUEL IVAN</t>
  </si>
  <si>
    <t>GIRAUDO DIEGO FABIAN</t>
  </si>
  <si>
    <t>HVW275</t>
  </si>
  <si>
    <t>AC967YM</t>
  </si>
  <si>
    <t>LOMA DEL MIRADOR-SABORISIMO</t>
  </si>
  <si>
    <t>CARLOS KEEN - BUENOS AIRES-CIA. AMERICANA</t>
  </si>
  <si>
    <t>PEHUEÑA CAPITAL FEDERAL-PEHUENIA ALIMENTOS</t>
  </si>
  <si>
    <t>SANTIAGO DE CHILE-ARCOR</t>
  </si>
  <si>
    <t>BRUNOTTO JORGE AGUSTIN</t>
  </si>
  <si>
    <t>HWF024</t>
  </si>
  <si>
    <t>HWF109</t>
  </si>
  <si>
    <t>TRAMA COMPAÑIA DE TRANSPORTES LTDA</t>
  </si>
  <si>
    <t>FaVen Nro.  001300000110 - Fecha 25-10-2021</t>
  </si>
  <si>
    <t>MELAZA</t>
  </si>
  <si>
    <t>ORN983</t>
  </si>
  <si>
    <t>MONTE VERA-FRUNAT</t>
  </si>
  <si>
    <t>BRUNOTTO DANIEL MARTIN</t>
  </si>
  <si>
    <t>HWF026</t>
  </si>
  <si>
    <t>TORTUGUITAS-CIA. AMERICANA DE ALIMENTOS</t>
  </si>
  <si>
    <t>SAN JUAN-FRUTO DE CUYO</t>
  </si>
  <si>
    <t>3031711 ISCAMEN</t>
  </si>
  <si>
    <t>FaVen Nro.  001100001347 - Fecha 24-11-2021</t>
  </si>
  <si>
    <t>FaVen Nro.  001300000111 - Fecha 17-11-2021</t>
  </si>
  <si>
    <t>GRASA</t>
  </si>
  <si>
    <t>VILLARREAL RUBEN DARIO</t>
  </si>
  <si>
    <t>HZG214</t>
  </si>
  <si>
    <t>SKQ157</t>
  </si>
  <si>
    <t>LOMAS DE ZAMORA-CEPAS ARG</t>
  </si>
  <si>
    <t>POPULIN NORBERTO</t>
  </si>
  <si>
    <t>POPULIN NORBERTO ERNESTO</t>
  </si>
  <si>
    <t>IIJ763</t>
  </si>
  <si>
    <t>WYH974</t>
  </si>
  <si>
    <t>RECREO-ARCOR</t>
  </si>
  <si>
    <t>GENTA MATIAS DANIEL</t>
  </si>
  <si>
    <t>JJA110</t>
  </si>
  <si>
    <t>JUY549</t>
  </si>
  <si>
    <t>SAN FERNANDO BS AS-ARCOR</t>
  </si>
  <si>
    <t>QUIROGA GERARDO</t>
  </si>
  <si>
    <t>JRY934</t>
  </si>
  <si>
    <t>AE721WX</t>
  </si>
  <si>
    <t>GARRIDO WALTER</t>
  </si>
  <si>
    <t>JZP219</t>
  </si>
  <si>
    <t>MAV543</t>
  </si>
  <si>
    <t>LOS CARDALES-FOR DRINK SA</t>
  </si>
  <si>
    <t>RODRIGUEZ LUIS ALBERTO</t>
  </si>
  <si>
    <t>BELLA VISTA-PERNOD RICARD</t>
  </si>
  <si>
    <t>REYERO SERGIO ARIEL</t>
  </si>
  <si>
    <t>KGF058</t>
  </si>
  <si>
    <t>IZG297</t>
  </si>
  <si>
    <t>DEVOTO-COOP. AGROP. PROD. Y CONS. LTDA</t>
  </si>
  <si>
    <t>2201-8100</t>
  </si>
  <si>
    <t>ARDILES LEONARDO FABIAN</t>
  </si>
  <si>
    <t>KHL103</t>
  </si>
  <si>
    <t>GKQ544</t>
  </si>
  <si>
    <t>TUNINETTI, JAVIER OSCAR</t>
  </si>
  <si>
    <t>KMU569</t>
  </si>
  <si>
    <t>AC121PL</t>
  </si>
  <si>
    <t>ALD240</t>
  </si>
  <si>
    <t>KEMERER GERONIMO A.</t>
  </si>
  <si>
    <t>HPK860</t>
  </si>
  <si>
    <t>SALTA-CERVESERIA</t>
  </si>
  <si>
    <t>MAGLIANO DANIEL M.</t>
  </si>
  <si>
    <t>KNA501</t>
  </si>
  <si>
    <t>JRY687</t>
  </si>
  <si>
    <t>MASTELLONE-GRAL  RODRIGUEZ</t>
  </si>
  <si>
    <t>SAN PEDRO-ARCOR</t>
  </si>
  <si>
    <t>DECHAND FRANCO MARTIN</t>
  </si>
  <si>
    <t>KNQ676</t>
  </si>
  <si>
    <t>LUY749</t>
  </si>
  <si>
    <t>2201-8066</t>
  </si>
  <si>
    <t>FaVen Nro.  001500000446 - Fecha 04-11-2021</t>
  </si>
  <si>
    <t>2010749259 ESTADIAS</t>
  </si>
  <si>
    <t>BALDASSARRE MARIO JOSE CEFERINO</t>
  </si>
  <si>
    <t>SOSA LUIS EDUARDO</t>
  </si>
  <si>
    <t>KOE220</t>
  </si>
  <si>
    <t>IUU333</t>
  </si>
  <si>
    <t>VILLA MERCEDES-AVEX SA</t>
  </si>
  <si>
    <t>CIUDADELA - BUENOS AIRES-DULFIX S.A.</t>
  </si>
  <si>
    <t>BELL VILLE-GOLOSINAS OENP SA</t>
  </si>
  <si>
    <t>KOL760</t>
  </si>
  <si>
    <t>GKQ545</t>
  </si>
  <si>
    <t>CORDOBA-CORDOBA</t>
  </si>
  <si>
    <t>DIAZ MAURICIO DANIEL</t>
  </si>
  <si>
    <t>KSL959</t>
  </si>
  <si>
    <t>KNA506</t>
  </si>
  <si>
    <t>MONTE CRISTO-GOY WIDMER Y CIA SA</t>
  </si>
  <si>
    <t>LAS HERAS-MONDELEZ</t>
  </si>
  <si>
    <t>CUGNO EDGARDO RUBEN</t>
  </si>
  <si>
    <t>KSS334</t>
  </si>
  <si>
    <t>GBN276</t>
  </si>
  <si>
    <t>VILLA DEL TOTORAL-BAGLEY</t>
  </si>
  <si>
    <t>RIO PRIMERO-LA BLANCA</t>
  </si>
  <si>
    <t>KWO766</t>
  </si>
  <si>
    <t>LUY735</t>
  </si>
  <si>
    <t>ACEVEDO HUGO ANTONIO</t>
  </si>
  <si>
    <t>LUY734</t>
  </si>
  <si>
    <t>GON265</t>
  </si>
  <si>
    <t>VARELA FAVIO</t>
  </si>
  <si>
    <t>MAV483</t>
  </si>
  <si>
    <t>IGN994</t>
  </si>
  <si>
    <t>CONCORDIA-BAGGIO</t>
  </si>
  <si>
    <t>VILLA DEL ROSARIO-MOLINOS</t>
  </si>
  <si>
    <t>AE205GV</t>
  </si>
  <si>
    <t>MOLINOS VIADA S.A. NACIONAL</t>
  </si>
  <si>
    <t>FaVen Nro.  001100001339 - Fecha 05-11-2021</t>
  </si>
  <si>
    <t>MENDOZA-MENDOZA</t>
  </si>
  <si>
    <t>HARINA</t>
  </si>
  <si>
    <t>FaVen Nro.  001100001345 - Fecha 24-11-2021</t>
  </si>
  <si>
    <t>COMESTIBLES</t>
  </si>
  <si>
    <t>MBP526</t>
  </si>
  <si>
    <t>ORO025</t>
  </si>
  <si>
    <t>BOSETTI JORGE ALBERTO</t>
  </si>
  <si>
    <t>MMN838</t>
  </si>
  <si>
    <t>TRANSITO-VACIO</t>
  </si>
  <si>
    <t>SIERRA DE LOS PADRES-NUTRECO ALIMENTOS</t>
  </si>
  <si>
    <t>GET034</t>
  </si>
  <si>
    <t>CUGNO ROBERTO MARTÍN</t>
  </si>
  <si>
    <t>CUGNO MARTIN</t>
  </si>
  <si>
    <t>MMN880</t>
  </si>
  <si>
    <t>GZR379</t>
  </si>
  <si>
    <t>LOMA HERMOSA-ARCOR</t>
  </si>
  <si>
    <t>LOPEZ LEONARDO GABRIEL</t>
  </si>
  <si>
    <t>OMA273</t>
  </si>
  <si>
    <t>PAF811</t>
  </si>
  <si>
    <t>LOMAS DE ZAMORA-LICORES ARGENTINOS S.A.</t>
  </si>
  <si>
    <t>FERREYRA CARLOS</t>
  </si>
  <si>
    <t>ORO021</t>
  </si>
  <si>
    <t>JUY548</t>
  </si>
  <si>
    <t>QUIROGA LUCAS</t>
  </si>
  <si>
    <t>OXJ862</t>
  </si>
  <si>
    <t>$ x km</t>
  </si>
  <si>
    <t>AC121PH_VIAR</t>
  </si>
  <si>
    <t>T. prom x Kms</t>
  </si>
  <si>
    <t>Consumo Lts.</t>
  </si>
  <si>
    <t>Cons. c/100 Km</t>
  </si>
  <si>
    <t>Precio por Litro</t>
  </si>
  <si>
    <t>Incidencia Combustible</t>
  </si>
  <si>
    <t>Incidencia Sueldo</t>
  </si>
  <si>
    <t>Días parados</t>
  </si>
  <si>
    <t>TRACTOR</t>
  </si>
  <si>
    <t>SEMI</t>
  </si>
  <si>
    <t>Facturado</t>
  </si>
  <si>
    <t>Cubiertas</t>
  </si>
  <si>
    <t>Combustible</t>
  </si>
  <si>
    <t>UREA</t>
  </si>
  <si>
    <t>Patente Pcial.</t>
  </si>
  <si>
    <t>Patente Munic.</t>
  </si>
  <si>
    <t>Seguro</t>
  </si>
  <si>
    <t>Sueldo</t>
  </si>
  <si>
    <t>Gastos</t>
  </si>
  <si>
    <t>TOTAL GASTOS</t>
  </si>
  <si>
    <t>NETO</t>
  </si>
  <si>
    <t>AC121PI_VIAR</t>
  </si>
  <si>
    <t>AC121PJ_VIAR</t>
  </si>
  <si>
    <t>AC121PK_VIAR</t>
  </si>
  <si>
    <t>AD414GY_VIAR</t>
  </si>
  <si>
    <t>AD414GZ_VIAR</t>
  </si>
  <si>
    <t>AD533SA_VIAR</t>
  </si>
  <si>
    <t>FWT827_VIAR</t>
  </si>
  <si>
    <t>HWF024_VIAR</t>
  </si>
  <si>
    <t>HWF026_VIAR</t>
  </si>
  <si>
    <t>JRY934_VIAR</t>
  </si>
  <si>
    <t>JZP219_VIAR</t>
  </si>
  <si>
    <t>KMU569_VIAR</t>
  </si>
  <si>
    <t>KOL760_VIAR</t>
  </si>
  <si>
    <t>KWO766_VIAR</t>
  </si>
  <si>
    <t>LUY734_VIAR</t>
  </si>
  <si>
    <t>MAV483_VIAR</t>
  </si>
  <si>
    <t>MMN838_VIAR</t>
  </si>
  <si>
    <t>ORO021_VIAR</t>
  </si>
  <si>
    <t>OXJ862_VIAR</t>
  </si>
  <si>
    <t>KHL103_ARDILES</t>
  </si>
  <si>
    <t>KSS334_CUGNO E</t>
  </si>
  <si>
    <t>KNA501_CUGNO G</t>
  </si>
  <si>
    <t>HPJ126_CUGNO G</t>
  </si>
  <si>
    <t>MMN880_CUGNO M</t>
  </si>
  <si>
    <t>JJA110_GENTA</t>
  </si>
  <si>
    <t>AA702TE_GIACONE</t>
  </si>
  <si>
    <t>AB595CA_GUAL</t>
  </si>
  <si>
    <t>KOE220_BALDASSARRE</t>
  </si>
  <si>
    <t>KSL959_BALDASSARRE</t>
  </si>
  <si>
    <t>AA996WC_CASTILLO</t>
  </si>
  <si>
    <t>AD864HO_FERREYRA</t>
  </si>
  <si>
    <t>AC377BI_GODOY</t>
  </si>
  <si>
    <t>AA612XR_ITATI</t>
  </si>
  <si>
    <t>HVE658_ITATI</t>
  </si>
  <si>
    <t>KNQ676_ITATI</t>
  </si>
  <si>
    <t>OMA273_LOPEZ</t>
  </si>
  <si>
    <t>KGF058_REYERO</t>
  </si>
  <si>
    <t>AB206GS_S.Y.L</t>
  </si>
  <si>
    <t>AE502ET_S.Y.L</t>
  </si>
  <si>
    <t>MBP526_S.Y.L</t>
  </si>
  <si>
    <t>AA327US_TAMES</t>
  </si>
  <si>
    <t>AB631DS_TRANSP M Y H</t>
  </si>
  <si>
    <t>IIJ763_POPULIN</t>
  </si>
  <si>
    <t>%</t>
  </si>
  <si>
    <t>HVW275_DE LA RUBIA</t>
  </si>
  <si>
    <t>HZG214_DE LA RUBIA</t>
  </si>
  <si>
    <t>AB687SH_TURCHETTI</t>
  </si>
  <si>
    <t>AC136AZ_TURCHETTI</t>
  </si>
  <si>
    <t>Descripcion</t>
  </si>
  <si>
    <t>Cobertura</t>
  </si>
  <si>
    <t>S. Aseg.</t>
  </si>
  <si>
    <t>Premio Semestral</t>
  </si>
  <si>
    <t>Premio Mercosur</t>
  </si>
  <si>
    <t>PRIMA</t>
  </si>
  <si>
    <t>NO GRAVADO</t>
  </si>
  <si>
    <t>IVA</t>
  </si>
  <si>
    <t>PERCEPCIÓN IVA</t>
  </si>
  <si>
    <t>AB097BP</t>
  </si>
  <si>
    <t>1: IVECO - DAILY 35 S15 FUR. H1 (2017)</t>
  </si>
  <si>
    <t>TR - Todo Riesgo Franquicia Variable</t>
  </si>
  <si>
    <t>JZG157</t>
  </si>
  <si>
    <t>2: FIAT - FIORINO FURGON FIRE (2017)</t>
  </si>
  <si>
    <t>TR - Todo Riesgo Franquicia Fija</t>
  </si>
  <si>
    <t>MGB809</t>
  </si>
  <si>
    <t>3: CHEVROLET - CLASSIC 1.4 4 PTAS LS SPIRIT (2013)</t>
  </si>
  <si>
    <t>4: IVECO - EUROCARGO CAVALLINO 450 E 32 T (2006)</t>
  </si>
  <si>
    <t>A - Responsabilidad Civil Unicamente</t>
  </si>
  <si>
    <t>5: IVECO - EUROCARGO CAVALLINO 450 E 32 T (2012)</t>
  </si>
  <si>
    <t>BCC975</t>
  </si>
  <si>
    <t>6: IVECO - EUROCARGO 150 E 20 N (1996)</t>
  </si>
  <si>
    <t>7: IVECO - CURSOR 450 C 33 MLL TA TRACTOR (2017)</t>
  </si>
  <si>
    <t>C - Resp. Civil-Robo/Incendio Total y Parcial Daños Totales por Accidente</t>
  </si>
  <si>
    <t>8: VOLVO CAMION - FM 11-370T SCV 4X2 (2011)</t>
  </si>
  <si>
    <t>9: IVECO - CURSOR 450 C 33 MLL TA TRACTOR (2017)</t>
  </si>
  <si>
    <t>10: IVECO - CURSOR 450 C 33 MLL TA TRACTOR (2017)</t>
  </si>
  <si>
    <t>11: RENAULT CAMION - PREMIUM 440 T DXI PRIVILEGE 4X2 (2009)</t>
  </si>
  <si>
    <t>12: RENAULT CAMION - PREMIUM 440 T DXI PRIVILEGE 4X2 (2009)</t>
  </si>
  <si>
    <t>13: SCANIA - P 340 LA 4X2 (2011)</t>
  </si>
  <si>
    <t>14: VOLVO CAMION - FM 11-370T SCV 4X2 (2013)</t>
  </si>
  <si>
    <t>15: RENAULT CAMION - PREMIUM 440 T DXI PRIVILEGE 4X2 (2011)</t>
  </si>
  <si>
    <t>16: VOLVO CAMION - FM 370 4X2 T/R (2012)</t>
  </si>
  <si>
    <t>KOE278</t>
  </si>
  <si>
    <t>17: VOLVO CAMION - FM 11-370T SCV 4X2 (2011)</t>
  </si>
  <si>
    <t>18: VOLVO CAMION - FM 370 4X2 T/R (2011)</t>
  </si>
  <si>
    <t>19: IVECO - CURSOR 450 E 33 TY MLL TB (2013)</t>
  </si>
  <si>
    <t>20: IVECO - CURSOR 450 C 33 MLL TA TRACTOR (2017)</t>
  </si>
  <si>
    <t>21: GENERICA - ACOPLADO (2008)</t>
  </si>
  <si>
    <t>22: DAEWOO - X (1995)</t>
  </si>
  <si>
    <t>DKP501</t>
  </si>
  <si>
    <t>23: GENERICA - ACOPLADO (2000)</t>
  </si>
  <si>
    <t>24: GENERICA - DI POLVERE (2009)</t>
  </si>
  <si>
    <t>25: GENERICA - FUR-TAN (2008)</t>
  </si>
  <si>
    <t>CVC716</t>
  </si>
  <si>
    <t>26: GENERICA - INTEGRAL (1999)</t>
  </si>
  <si>
    <t>27: GENERICA - FUR-TAN (2007)</t>
  </si>
  <si>
    <t>28: GENERICA - FUR-TAN (2007)</t>
  </si>
  <si>
    <t>AB445UF</t>
  </si>
  <si>
    <t>29: HELVETICA - ACOPLADO (2017)</t>
  </si>
  <si>
    <t>AB248KW</t>
  </si>
  <si>
    <t>30: RANDON - SEMI-REMOLQUE (2017)</t>
  </si>
  <si>
    <t>AB248KX</t>
  </si>
  <si>
    <t>31: RANDON - SEMI-REMOLQUE (2017)</t>
  </si>
  <si>
    <t>32: GENERICA - DE PAOLI (1999)</t>
  </si>
  <si>
    <t>DEQ159</t>
  </si>
  <si>
    <t>33: GENERICA - MANCINI (1999)</t>
  </si>
  <si>
    <t>34: GENERICA - FRUSSO (2007)</t>
  </si>
  <si>
    <t>35: GENERICA - ASTIVIA (2007)</t>
  </si>
  <si>
    <t>36: GENERICA - ASTIVIA (2007)</t>
  </si>
  <si>
    <t>LUY732</t>
  </si>
  <si>
    <t>37: GENERICA - ACOPLADO (2012)</t>
  </si>
  <si>
    <t>LUY733</t>
  </si>
  <si>
    <t>38: GENERICA - ACOPLADO (2012)</t>
  </si>
  <si>
    <t>39: GENERICA - FUR-TAN (2012)</t>
  </si>
  <si>
    <t>40: GENERICA - ACOPLADO (2011)</t>
  </si>
  <si>
    <t>41: GENERICA - ACOPLADO (2010)</t>
  </si>
  <si>
    <t>42: GENERICA - FUR-TAN (2013)</t>
  </si>
  <si>
    <t>43: GENERICA - DARWIN (1993)</t>
  </si>
  <si>
    <t>44: GENERICA - ASTIVIA (2015)</t>
  </si>
  <si>
    <t>45: GENERICA - SABINO (2015)</t>
  </si>
  <si>
    <t>46: GENERICA - DI POLVERE (2011)</t>
  </si>
  <si>
    <t>47: GENERICA - DI POLVERE (2011)</t>
  </si>
  <si>
    <t>KNA502</t>
  </si>
  <si>
    <t>48: GENERICA - ACOPLADO (2011)</t>
  </si>
  <si>
    <t>49: GENERICA - ACOPLADO (2011)</t>
  </si>
  <si>
    <t>50: GENERICA - ACOPLADO (2011)</t>
  </si>
  <si>
    <t>51: GENERICA - ACOPLADO (2011)</t>
  </si>
  <si>
    <t>52: GENERICA - ACOPLADO (2010)</t>
  </si>
  <si>
    <t>53: GENERICA - DI POLVERE (2010)</t>
  </si>
  <si>
    <t>54: GENERICA - ASTIVIA (2015)</t>
  </si>
  <si>
    <t>JIS373</t>
  </si>
  <si>
    <t>55: GENERICA - DI POLVERE (2011)</t>
  </si>
  <si>
    <t>56: GENERICA - DI POLVERE (2011)</t>
  </si>
  <si>
    <t>57: GENERICA - DI POLVERE (2011)</t>
  </si>
  <si>
    <t>58: GENERICA - DI POLVERE (2009)</t>
  </si>
  <si>
    <t>59: GENERICA - FUR-TAN (2012)</t>
  </si>
  <si>
    <t>60: GENERICA - FUR-TAN (2012)</t>
  </si>
  <si>
    <t>61: GENERICA - ASTIVIA (2007)</t>
  </si>
  <si>
    <t>62: GENERICA - ASTIVIA (2007)</t>
  </si>
  <si>
    <t>63: GENERICA - ASTIVIA (2007)</t>
  </si>
  <si>
    <t>64: GENERICA - FRUSSO (2007)</t>
  </si>
  <si>
    <t>GET035</t>
  </si>
  <si>
    <t>65: GENERICA - ASTIVIA (2007)</t>
  </si>
  <si>
    <t>66: GENERICA - ASTIVIA (2016)</t>
  </si>
  <si>
    <t>67: GENERICA - ASTIVIA (2016)</t>
  </si>
  <si>
    <t>68: GENERICA - DI POLVERE (2011)</t>
  </si>
  <si>
    <t>69: GENERICA - SEMI REMOLQUE (2017)</t>
  </si>
  <si>
    <t>70: GENERICA - FUR-TAN (2008)</t>
  </si>
  <si>
    <t>71: GENERICA - FUR-TAN (2010)</t>
  </si>
  <si>
    <t>72: GENERICA - ASTIVIA (2015)</t>
  </si>
  <si>
    <t>73: VOLKSWAGEN CAM. - 19.320 E 35 T D/C (2015)</t>
  </si>
  <si>
    <t>74: GENERICA - ASTIVIA (2015)</t>
  </si>
  <si>
    <t>75: GENERICA - FUR-TAN (2019)</t>
  </si>
  <si>
    <t>76: VOLKSWAGEN CAM. - 19.320 E 35 T D/C (2015)</t>
  </si>
  <si>
    <t>77: IVECO - CURSOR 450 C 33 MLL TA TRACTOR (2019)</t>
  </si>
  <si>
    <t>78: IVECO - CURSOR 450 C 33 MLL TA TRACTOR (2019)</t>
  </si>
  <si>
    <t>79: IVECO - CURSOR 450 C 33 MLL TA TRACTOR (2019)</t>
  </si>
  <si>
    <t>80: GENERICA - ACOPLADO (2019)</t>
  </si>
  <si>
    <t>AE205GG</t>
  </si>
  <si>
    <t>81: GENERICA - RANDON (2020)</t>
  </si>
  <si>
    <t>82: OMBU - ACOPLADO (2020)</t>
  </si>
  <si>
    <t>83: ACOPLADO - METALURGICA BELGRANO (2021)</t>
  </si>
  <si>
    <t>84: ACOPLADO - METALURGICA BELGRANO (2021)</t>
  </si>
  <si>
    <t>85: ACOPLADO - METALURGICA BELGRANO (2021)</t>
  </si>
  <si>
    <t>SEGURO</t>
  </si>
  <si>
    <t>UNIDAD</t>
  </si>
  <si>
    <t>TOTAL</t>
  </si>
  <si>
    <t>Patente Pcial</t>
  </si>
  <si>
    <t>Total</t>
  </si>
  <si>
    <t>UNIDADES SIN USO - OCTUBRE 2021</t>
  </si>
  <si>
    <t>TRACTORES</t>
  </si>
  <si>
    <t>SEMIRREMOLQUES</t>
  </si>
  <si>
    <t>UNIDADES SIN USO</t>
  </si>
  <si>
    <t>UNIDADES UTILITARIAS</t>
  </si>
  <si>
    <t>Cuota 1 Año 2020</t>
  </si>
  <si>
    <t>Cuota 1 Vto 31/03</t>
  </si>
  <si>
    <t>Anual Año 2020</t>
  </si>
  <si>
    <t>Anual Vto 31/03</t>
  </si>
  <si>
    <t>PATENTE MUNICIPAL</t>
  </si>
  <si>
    <t>Cuota 8 Vto 10/09</t>
  </si>
  <si>
    <t>Cuota 9 Vto 12/10</t>
  </si>
  <si>
    <t>Cuota 10 Vto 10/11</t>
  </si>
  <si>
    <t>Cuota 11 Vto 10/12</t>
  </si>
  <si>
    <t>En trámite</t>
  </si>
  <si>
    <t>FECHA</t>
  </si>
  <si>
    <t>PATENTES</t>
  </si>
  <si>
    <t>LITROS</t>
  </si>
  <si>
    <t>PLANILLA</t>
  </si>
  <si>
    <t>ECI</t>
  </si>
  <si>
    <t>ITC</t>
  </si>
  <si>
    <t>ICO2</t>
  </si>
  <si>
    <t>MONTO</t>
  </si>
  <si>
    <t>FLETERO</t>
  </si>
  <si>
    <t>PLANILLA DE COMBUSTIBLE N° 577 ARROYITO</t>
  </si>
  <si>
    <t>VIAR</t>
  </si>
  <si>
    <t>PLANILLA DE COMBUSTIBLE N° 578 ARROYITO</t>
  </si>
  <si>
    <t>PLANILLA DE COMBUSTIBLE N° 579 ARROYITO</t>
  </si>
  <si>
    <t>PLANILLA DE COMBUSTIBLE N° 580 ARROYITO</t>
  </si>
  <si>
    <t>PLANILLA DE COMBUSTIBLE N°162</t>
  </si>
  <si>
    <t xml:space="preserve">VIAR </t>
  </si>
  <si>
    <t>PLANILLA DE COMBUSTIBLE N°163</t>
  </si>
  <si>
    <t>PLANILLA DE COMBUSTIBLE N°164</t>
  </si>
  <si>
    <t>19-363</t>
  </si>
  <si>
    <t>17-105528</t>
  </si>
  <si>
    <t>17-105485</t>
  </si>
  <si>
    <t>17-105458</t>
  </si>
  <si>
    <t>17-105441</t>
  </si>
  <si>
    <t>17-105429</t>
  </si>
  <si>
    <t>17-105435</t>
  </si>
  <si>
    <t>28/10/2021 16:02:29</t>
  </si>
  <si>
    <t>LABOULAYE</t>
  </si>
  <si>
    <t>ULTRADIESEL</t>
  </si>
  <si>
    <t>31/10/2021 8:44:58</t>
  </si>
  <si>
    <t>CHACABUCO</t>
  </si>
  <si>
    <t>07/10/2021 17:05:09</t>
  </si>
  <si>
    <t>16/10/2021 15:40:10</t>
  </si>
  <si>
    <t>31/10/2021 8:34:53</t>
  </si>
  <si>
    <t>04/10/2021 22:30:34</t>
  </si>
  <si>
    <t>04/10/2021 14:19:21</t>
  </si>
  <si>
    <t>FIGHIERA</t>
  </si>
  <si>
    <t>10/10/2021 15:24:08</t>
  </si>
  <si>
    <t>NOGOYA</t>
  </si>
  <si>
    <t>D.DIESEL 500</t>
  </si>
  <si>
    <t>25/10/2021 15:16:08</t>
  </si>
  <si>
    <t>CAÑUELAS</t>
  </si>
  <si>
    <t>01/10/2021 10:40:13</t>
  </si>
  <si>
    <t>31/10/2021 16:18:04</t>
  </si>
  <si>
    <t>20/10/2021 16:03:43</t>
  </si>
  <si>
    <t>22/10/2021 15:27:25</t>
  </si>
  <si>
    <t>08/10/2021 8:21:38</t>
  </si>
  <si>
    <t>SAN PEDRO</t>
  </si>
  <si>
    <t>08/10/2021 19:18:25</t>
  </si>
  <si>
    <t>QUILINO</t>
  </si>
  <si>
    <t>05/10/2021 11:48:08</t>
  </si>
  <si>
    <t>CAÑADA ROSQUIN</t>
  </si>
  <si>
    <t>22/10/2021 15:39:39</t>
  </si>
  <si>
    <t>RIO PRIMERO</t>
  </si>
  <si>
    <t>30/10/2021 21:32:37</t>
  </si>
  <si>
    <t>LAS VARILLAS</t>
  </si>
  <si>
    <t>30/10/2021 21:35:49</t>
  </si>
  <si>
    <t>08/10/2021 12:03:15</t>
  </si>
  <si>
    <t>OLTA</t>
  </si>
  <si>
    <t>18/10/2021 7:37:39</t>
  </si>
  <si>
    <t>LAVALLE</t>
  </si>
  <si>
    <t>05/10/2021 8:33:20</t>
  </si>
  <si>
    <t>LA RIOJA</t>
  </si>
  <si>
    <t>06/10/2021 11:04:49</t>
  </si>
  <si>
    <t>LAS HERAS</t>
  </si>
  <si>
    <t>14/10/2021 8:01:15</t>
  </si>
  <si>
    <t>24/10/2021 7:39:38</t>
  </si>
  <si>
    <t>28/10/2021 19:10:27</t>
  </si>
  <si>
    <t>27/10/2021 23:45:12</t>
  </si>
  <si>
    <t>19/10/2021 22:01:04</t>
  </si>
  <si>
    <t>23/10/2021 10:13:42</t>
  </si>
  <si>
    <t>15/10/2021 7:29:20</t>
  </si>
  <si>
    <t>23/10/2021 20:41:45</t>
  </si>
  <si>
    <t>28/10/2021 11:23:40</t>
  </si>
  <si>
    <t>IRIARTE</t>
  </si>
  <si>
    <t>22/10/2021 11:57:35</t>
  </si>
  <si>
    <t>ESTACION CALCHIN</t>
  </si>
  <si>
    <t>13/10/2021 7:44:08</t>
  </si>
  <si>
    <t>FAMAILLA</t>
  </si>
  <si>
    <t>11/10/2021 13:27:18</t>
  </si>
  <si>
    <t>RIO HONDO</t>
  </si>
  <si>
    <t>24/10/2021 18:32:48</t>
  </si>
  <si>
    <t>19/10/2021 22:04:45</t>
  </si>
  <si>
    <t>CAUCETE</t>
  </si>
  <si>
    <t>07/10/2021 18:41:38</t>
  </si>
  <si>
    <t>06/10/2021 5:35:00</t>
  </si>
  <si>
    <t>SUSANA</t>
  </si>
  <si>
    <t>27/10/2021 18:38:45</t>
  </si>
  <si>
    <t>28/10/2021 12:35:42</t>
  </si>
  <si>
    <t>COLONIA DORA</t>
  </si>
  <si>
    <t>28/10/2021 12:43:04</t>
  </si>
  <si>
    <t>28/10/2021 12:48:11</t>
  </si>
  <si>
    <t>14/10/2021 22:39:13</t>
  </si>
  <si>
    <t>SIMOCA</t>
  </si>
  <si>
    <t>14/10/2021 22:44:00</t>
  </si>
  <si>
    <t>14/10/2021 22:51:38</t>
  </si>
  <si>
    <t>18/10/2021 17:57:20</t>
  </si>
  <si>
    <t>18/10/2021 18:02:12</t>
  </si>
  <si>
    <t>18/10/2021 18:06:22</t>
  </si>
  <si>
    <t>25/10/2021 10:50:47</t>
  </si>
  <si>
    <t>MAR DEL PLATA</t>
  </si>
  <si>
    <t>25/10/2021 10:55:18</t>
  </si>
  <si>
    <t>25/10/2021 10:59:54</t>
  </si>
  <si>
    <t>27/10/2021 9:07:09</t>
  </si>
  <si>
    <t>27/10/2021 0:03:35</t>
  </si>
  <si>
    <t>22/10/2021 10:32:56</t>
  </si>
  <si>
    <t>LEONES</t>
  </si>
  <si>
    <t>09/10/2021 8:11:22</t>
  </si>
  <si>
    <t>18/10/2021 7:56:17</t>
  </si>
  <si>
    <t>PLANILLA DE COMBUSTIBLE N°581 ARROYITO</t>
  </si>
  <si>
    <t>PLANILLA DE COMBUSTIBLE N° 582 ARROYITO</t>
  </si>
  <si>
    <t>PLANILLA DE COMBUSTIBLE N° 583 ARROYITO</t>
  </si>
  <si>
    <t>PLANILLA DE COMBUSTIBLE N° 584 ARROYITO</t>
  </si>
  <si>
    <t>PLANILLA DE COMBUSTIBLE N° 585 ARROYITO</t>
  </si>
  <si>
    <t>PLANILLA DE COMBUSTIBLE N° 586 ARROYITO</t>
  </si>
  <si>
    <t>Total AC121PH</t>
  </si>
  <si>
    <t>Total AC121PI</t>
  </si>
  <si>
    <t>Total AC121PJ</t>
  </si>
  <si>
    <t>Total AC121PK</t>
  </si>
  <si>
    <t>Total AD414GY</t>
  </si>
  <si>
    <t>Total AD414GZ</t>
  </si>
  <si>
    <t>Total AD533SA</t>
  </si>
  <si>
    <t>Total FWT827</t>
  </si>
  <si>
    <t>Total HWF024</t>
  </si>
  <si>
    <t>Total HWF026</t>
  </si>
  <si>
    <t>Total JRY934</t>
  </si>
  <si>
    <t>Total JZP219</t>
  </si>
  <si>
    <t>Total KMU569</t>
  </si>
  <si>
    <t>Total KOL760</t>
  </si>
  <si>
    <t>Total KWO766</t>
  </si>
  <si>
    <t>Total LUY734</t>
  </si>
  <si>
    <t>Total MAV483</t>
  </si>
  <si>
    <t>Total MMN838</t>
  </si>
  <si>
    <t>Total ORO021</t>
  </si>
  <si>
    <t>Total OXJ862</t>
  </si>
  <si>
    <t>Total general</t>
  </si>
  <si>
    <t>COMBUSTIBLE 10-2021</t>
  </si>
  <si>
    <t>Banco</t>
  </si>
  <si>
    <t>Empleado</t>
  </si>
  <si>
    <t>HCA</t>
  </si>
  <si>
    <t>HSA</t>
  </si>
  <si>
    <t>BANCO DE LA PROVINCIA DE CORDOBA</t>
  </si>
  <si>
    <t>KEMERER GERONIMO ADRIAN</t>
  </si>
  <si>
    <t>QUIROGA GERARDO DIONISIO</t>
  </si>
  <si>
    <t>QUIROGA LUCAS RUBEN</t>
  </si>
  <si>
    <t>BANCO MACRO S.A.</t>
  </si>
  <si>
    <t>FERREYRA CARLOS ALBERTO</t>
  </si>
  <si>
    <t>TUNINETTI JAVIER OSCAR</t>
  </si>
  <si>
    <t>VARELA FAVIO EDGARDO</t>
  </si>
  <si>
    <t>BBVA BANCO FRANCES S.A.</t>
  </si>
  <si>
    <t>ARRASCAETA ANTONIO BERNARDO</t>
  </si>
  <si>
    <t>GARRIDO WALTER ARIEL</t>
  </si>
  <si>
    <t>MAURER WALTER VALERIO</t>
  </si>
  <si>
    <t>OGAS ANTONIO ANGEL</t>
  </si>
  <si>
    <t>Contribución F 931</t>
  </si>
  <si>
    <t>Contribución Sindical</t>
  </si>
  <si>
    <t>Contribución ART</t>
  </si>
  <si>
    <t>Seguro de Vida</t>
  </si>
  <si>
    <t>Adicional Bomba</t>
  </si>
  <si>
    <t>Subtotal</t>
  </si>
  <si>
    <t>SAC</t>
  </si>
  <si>
    <t>VAC</t>
  </si>
  <si>
    <t>DIAS DE VAC</t>
  </si>
  <si>
    <t>CONTROL</t>
  </si>
  <si>
    <t>DIFERENCIA</t>
  </si>
  <si>
    <t>ANUAL</t>
  </si>
  <si>
    <t>KM Totales</t>
  </si>
  <si>
    <t>SB ($)</t>
  </si>
  <si>
    <t>SB</t>
  </si>
  <si>
    <t>CM</t>
  </si>
  <si>
    <t>$ X KM</t>
  </si>
  <si>
    <t>SUELDOS CHOFERES</t>
  </si>
  <si>
    <t>TOTALES ARROYITO</t>
  </si>
  <si>
    <t>TOTALES VILLA MERCEDES</t>
  </si>
  <si>
    <t>GUEVARA RAUL GUSTAVO</t>
  </si>
  <si>
    <t>GUZMAN GUSTAVO OMAR</t>
  </si>
  <si>
    <t>LUNA JORGE ANTONIO</t>
  </si>
  <si>
    <t>SIDERIDES SERGIO ADRIAN</t>
  </si>
  <si>
    <t>total viajes vm prop</t>
  </si>
  <si>
    <t>total viajes vm flet</t>
  </si>
  <si>
    <t>total viajes vm</t>
  </si>
  <si>
    <t>$ x KM CARGADORES</t>
  </si>
  <si>
    <t>KM</t>
  </si>
  <si>
    <t>Km. PROMEDIO</t>
  </si>
  <si>
    <t>TOTAL KM PROPIOS</t>
  </si>
  <si>
    <t>$ x Km. CARGADORES</t>
  </si>
  <si>
    <t>SUELDOS 4 CARGADORES</t>
  </si>
  <si>
    <t>Porcentaje viajes propios cargadores</t>
  </si>
  <si>
    <t>SUELDOS CARGADORES</t>
  </si>
  <si>
    <t>PRESSA S.A.</t>
  </si>
  <si>
    <t>Seguimiento Satelital al 21%</t>
  </si>
  <si>
    <t>ABU878</t>
  </si>
  <si>
    <t>CORREDORES VIALES SA</t>
  </si>
  <si>
    <t>Peajes</t>
  </si>
  <si>
    <t>CAMINOS DE LAS SIERRAS S.A.</t>
  </si>
  <si>
    <t>GRUPO CONCESIONARIA DEL OESTE S.A.</t>
  </si>
  <si>
    <t>MICHELIN ARGENTINA SA IC Y F</t>
  </si>
  <si>
    <t>ABONO SEPTIEMBRE SASMDT CON TELEMETRIA</t>
  </si>
  <si>
    <t>ACCESORIOS DE PATENTES</t>
  </si>
  <si>
    <t>AUTOPISTAS URBANAS S.A.</t>
  </si>
  <si>
    <t>ARCE PABLO DANIEL</t>
  </si>
  <si>
    <t>Lavado de Chasis y Cabina al 21%</t>
  </si>
  <si>
    <t>ABONO OCTUBRE SASMDT CON TELEMETRIA</t>
  </si>
  <si>
    <t>ACCESORIOS DE PATENTES SASMDT</t>
  </si>
  <si>
    <t>ROMANO DARIO JOSE</t>
  </si>
  <si>
    <t>AGUA DESTILADA 10L</t>
  </si>
  <si>
    <t>UNIDAD EJECUTORA AUTOPISTA AP 01</t>
  </si>
  <si>
    <t>ALBERTO PAOLONI E HIJOS S.R.L</t>
  </si>
  <si>
    <t>EMPUÑADURA ECOLINE CURSOR 330</t>
  </si>
  <si>
    <t>GEREDIN ALEJANDRO YAMIR</t>
  </si>
  <si>
    <t>ARREGLO</t>
  </si>
  <si>
    <t>Lavado de Semirremolque al 21%</t>
  </si>
  <si>
    <t>ROBLES RICARDO F.</t>
  </si>
  <si>
    <t>CONSTRUCCION DE SEGURO DE TANQUE DE ACERO SEGUN MUESTRA (GASOIL)</t>
  </si>
  <si>
    <t>BALANCEADO</t>
  </si>
  <si>
    <t>AUTOPISTAS DEL SOL S.A</t>
  </si>
  <si>
    <t>AUTOPISTAS DE BUENOS AIRES SA</t>
  </si>
  <si>
    <t>CAMINOS DEL RIO URUGUAY S.A.</t>
  </si>
  <si>
    <t>CAÑO AJUSTE VIROLA 18mm</t>
  </si>
  <si>
    <t>CAÑO TECALAN 18mm</t>
  </si>
  <si>
    <t>MANGUITO P/TUBO DE 18mm</t>
  </si>
  <si>
    <t>UNION AJUSTE CAÑO 18mm COMPLET</t>
  </si>
  <si>
    <t>ARREGLO GOMA</t>
  </si>
  <si>
    <t>ARME Y DESARME/TARUGO/RAC10</t>
  </si>
  <si>
    <t>BRIZZIO HÉCTOR D.</t>
  </si>
  <si>
    <t>ARANDELA PLANA 5/8</t>
  </si>
  <si>
    <t>PURGADOR 1/4</t>
  </si>
  <si>
    <t>ROTACIÓN Y PRUEBA EN AGUA</t>
  </si>
  <si>
    <t>ARME Y DESARME</t>
  </si>
  <si>
    <t>1FUELLE33ALTO 1TAPA .BRIDA Y BU</t>
  </si>
  <si>
    <t>TEFLON "FINO" 12mm X10 METRO</t>
  </si>
  <si>
    <t>MECANIZAR POLEA, DIAMETRO 38 mm CHAVETERO 8 mm</t>
  </si>
  <si>
    <t>ARREGLO/PARCHE</t>
  </si>
  <si>
    <t>ARREGLO/TARUGO/PARCHE</t>
  </si>
  <si>
    <t>METALURGICA 19 SRL</t>
  </si>
  <si>
    <t>2 BUJES ASTIVIA</t>
  </si>
  <si>
    <t>8 BUJES MH</t>
  </si>
  <si>
    <t>8 PERNOS 7/8 X 150 C/AUTOFRENANTES</t>
  </si>
  <si>
    <t>CAMBIAR 8 BUJES DE TENSOR</t>
  </si>
  <si>
    <t>SACAR BALANCINES Y CAMBIAR BUJES</t>
  </si>
  <si>
    <t>ARANDELA BARRA LEVA MEDIANA</t>
  </si>
  <si>
    <t>FUELLE N°22 ALTO FL1340</t>
  </si>
  <si>
    <t>REGISTRO FRENO 10 EST ACOPLADO</t>
  </si>
  <si>
    <t>MAGNIEN ADRIAN GUSTAVO</t>
  </si>
  <si>
    <t>BOMBA LOBULAR. RECTIFICADO CUERPO Y EMBOLOS. TAPA ALESAR</t>
  </si>
  <si>
    <t>BOCINA MARCHA ATRAS 24V. "DNI"</t>
  </si>
  <si>
    <t>CODO INSTANTANEO 8mm X1/4</t>
  </si>
  <si>
    <t>VALV. REG/PRECIOyRELO L/EJE TUR</t>
  </si>
  <si>
    <t>2 BUJES AIREADOS</t>
  </si>
  <si>
    <t>2 PERNOS 32 X 260 C/TCA</t>
  </si>
  <si>
    <t>8 BULONES</t>
  </si>
  <si>
    <t>CAMBIAR 2 BUJES PENTON</t>
  </si>
  <si>
    <t>CAMBIAR PERNO DE ARRASTRE Y REPARAR ROSCAS DE BRIDA</t>
  </si>
  <si>
    <t>COLOCAR 4 ARANDELAS A TENSOR</t>
  </si>
  <si>
    <t>PERNO TORMECAN</t>
  </si>
  <si>
    <t>TUERCA AUTOFRENANTE MB 20</t>
  </si>
  <si>
    <t>FRANCOLATINA S.A</t>
  </si>
  <si>
    <t>ARANDELA AJUSTE</t>
  </si>
  <si>
    <t>CASQUILLO</t>
  </si>
  <si>
    <t>CUBETA</t>
  </si>
  <si>
    <t>EJE</t>
  </si>
  <si>
    <t>BOMBA LOBULAR. RECTIFICADO CUERPO Y EMBOLOS/ CENTRADO DE ESTRIAS/ 2 PISTAS/ PERNO FIJADOR TAPA Y CENTRADO</t>
  </si>
  <si>
    <t>BULON RUEDA.CON TUERCA C/ARAND</t>
  </si>
  <si>
    <t>CORREEA BBA. GLUCOSA BP-56</t>
  </si>
  <si>
    <t>FARO "R R" N°1800 RECTANGULAR</t>
  </si>
  <si>
    <t>CALIBRADO</t>
  </si>
  <si>
    <t>PICO NUEVO</t>
  </si>
  <si>
    <t>CAMBIAR REPARACIÓN DE FRENO</t>
  </si>
  <si>
    <t>KIT REPARACIÓN CALIPER</t>
  </si>
  <si>
    <t>BULON G.5 UNC 3/4X5 1/2</t>
  </si>
  <si>
    <t>AMORTIGUADOR RENAULT</t>
  </si>
  <si>
    <t>SCANIA ARGENTINA SA</t>
  </si>
  <si>
    <t>CLIP</t>
  </si>
  <si>
    <t>DEPOSITO LIQ. LAVA CR</t>
  </si>
  <si>
    <t>INYECTOR</t>
  </si>
  <si>
    <t>MANGO</t>
  </si>
  <si>
    <t>ROMERA ANTONIO</t>
  </si>
  <si>
    <t>COLCHON PARA CAMION</t>
  </si>
  <si>
    <t>GOMEZ EZEQUIEL GERMAN</t>
  </si>
  <si>
    <t>ALINEADO - BALANCEADO - ROTACIÓN</t>
  </si>
  <si>
    <t>VALVULA DE FRENO PIE</t>
  </si>
  <si>
    <t>TUERCA HEXAGONAL</t>
  </si>
  <si>
    <t>DESARME</t>
  </si>
  <si>
    <t>DESARME / ROTACIÓN</t>
  </si>
  <si>
    <t>PICO</t>
  </si>
  <si>
    <t>LLANTAS A DISCO 9"</t>
  </si>
  <si>
    <t>BETA SA</t>
  </si>
  <si>
    <t>RADIADOR COMPLETO CAV/CURSOR 330</t>
  </si>
  <si>
    <t>LA COLONIA SRL</t>
  </si>
  <si>
    <t>ALICATE ELEC.BREM-C/OBLIC.5" 6570</t>
  </si>
  <si>
    <t>CORREO STRONG BELTS LISA - B.61</t>
  </si>
  <si>
    <t>FERACE DAMIAN CARLOS</t>
  </si>
  <si>
    <t>REP COMPRESOR CAVALLINO</t>
  </si>
  <si>
    <t>DEP. AGUA EUROC/TECT/CAV/AT.S/C</t>
  </si>
  <si>
    <t>BERTRAND PATRICIA ONDINA</t>
  </si>
  <si>
    <t>Baterías 12x110 AMP</t>
  </si>
  <si>
    <t>ROTACIÓN</t>
  </si>
  <si>
    <t>REPARACION DE BOMBA COMPLETA, RODAMIENTOS, RETENES, MACANIZAR EJE, TUERCA Y ENGRANAJE. CONT DE MANGUITO P POLEA GRANDE</t>
  </si>
  <si>
    <t>CONTROL- REP PICO</t>
  </si>
  <si>
    <t>CALCOMANIA MAX.80/90/110REFLE</t>
  </si>
  <si>
    <t>RODACOR SRL DE RAMON Y J. FRANCISCO ARNA</t>
  </si>
  <si>
    <t>DB</t>
  </si>
  <si>
    <t>DBH 5294</t>
  </si>
  <si>
    <t>CHAVETA 8X8X150</t>
  </si>
  <si>
    <t>ESMALTE SINTETICO BLANCO MATE</t>
  </si>
  <si>
    <t>MINI FLEX OX AL 25X15 GRANO 80</t>
  </si>
  <si>
    <t>ABRAZADERA U BOLT 1/4 X 2</t>
  </si>
  <si>
    <t>ARANDELA CHAPISTA 1/4</t>
  </si>
  <si>
    <t>TUERCA AUTOFRENANTE UNC 1/4"</t>
  </si>
  <si>
    <t>VALVULA SEG C/TIRADOR 1/2" COMPRESOR</t>
  </si>
  <si>
    <t>ROTACIÓN/PROBADO AGUA/CAMBIO VÁLVULA</t>
  </si>
  <si>
    <t>DESCUENTO POR PAGO DE CONTADO</t>
  </si>
  <si>
    <t>EC ARGUELLO REPUESTOS SRL</t>
  </si>
  <si>
    <t>DESCUENTO POR PAGO -20% -10%</t>
  </si>
  <si>
    <t>DESC 7% PAGO DE CONTADO</t>
  </si>
  <si>
    <t>DESC. 7% PAGO CONTADO</t>
  </si>
  <si>
    <t>DESCUENTO</t>
  </si>
  <si>
    <t>Empleado Prueba 1</t>
  </si>
  <si>
    <t>Ruta</t>
  </si>
  <si>
    <t>Ruta JAO482</t>
  </si>
  <si>
    <t>Multas</t>
  </si>
  <si>
    <t>307-10096</t>
  </si>
  <si>
    <t>PAÑOL</t>
  </si>
  <si>
    <t>FILTRO GASOIL - FIAT</t>
  </si>
  <si>
    <t>KC217</t>
  </si>
  <si>
    <t>FILTRO TRAMPA AGUA CURSOR</t>
  </si>
  <si>
    <t>R120L-10M-AQII</t>
  </si>
  <si>
    <t>FLETGUARD-ACEITE-FIAT</t>
  </si>
  <si>
    <t>OX1052</t>
  </si>
  <si>
    <t>YPF EXTRAVIDA XV300</t>
  </si>
  <si>
    <t>15w40</t>
  </si>
  <si>
    <t>FILTRO AIRE CURSOR / MERCEDES BENZ 34</t>
  </si>
  <si>
    <t>LX1313/1</t>
  </si>
  <si>
    <t>MAHLE - SECADOR DE AIRE - UNIVERSAL (SALVO VOLVO, SCANIA Y RENAULT)</t>
  </si>
  <si>
    <t>AL12</t>
  </si>
  <si>
    <t>TRAMPA DE AGUA VW ELECTRONICO 19320</t>
  </si>
  <si>
    <t>R120LJ-10-AQII</t>
  </si>
  <si>
    <t>14,6x6x3,5 ARANDELA DE GOMA PUNTA PICO TOMA MUESTRA</t>
  </si>
  <si>
    <t>1165-ARAN 14,6x6x3,5</t>
  </si>
  <si>
    <t>O`RING BOMBA EMAC (EXTERIOR)</t>
  </si>
  <si>
    <t>GRASA ROLEXA LITIO</t>
  </si>
  <si>
    <t>FILTRO</t>
  </si>
  <si>
    <t>PREMIUM BLUE 7800</t>
  </si>
  <si>
    <t>75x66x2 JUNTA HONGO DE VENTEO</t>
  </si>
  <si>
    <t>1165-ARAN 75x66x2</t>
  </si>
  <si>
    <t>102x76x30 JUNTA SILICONADA BLANCA (VALVULA MARIPOSA 3´´)</t>
  </si>
  <si>
    <t>1165-JTAVALV 102</t>
  </si>
  <si>
    <t>SOGA PLASTICA</t>
  </si>
  <si>
    <t>SOGA PRECINTO</t>
  </si>
  <si>
    <t>89,5x72,5x5,8 ARANDELA SILICONADA BLANCA (ROSCA DANESA 3´´)</t>
  </si>
  <si>
    <t>1165-ARAN 89,5</t>
  </si>
  <si>
    <t>1 POLO</t>
  </si>
  <si>
    <t>24x5 5627</t>
  </si>
  <si>
    <t>FOCO MUELITA</t>
  </si>
  <si>
    <t>24x5 MUELITA 2845</t>
  </si>
  <si>
    <t>PISTA BOMBA</t>
  </si>
  <si>
    <t>PISTA INOX</t>
  </si>
  <si>
    <t>245,4x237x4,2  O RING  SILICONADO BLANCO (TAPA DE BOMBA)</t>
  </si>
  <si>
    <t>1165-237x4,2</t>
  </si>
  <si>
    <t>ANU00006539</t>
  </si>
  <si>
    <t>18,1x13,3x2,4 ORING PICO TOMA MUESTRA</t>
  </si>
  <si>
    <t>MOS-013,3x2,4</t>
  </si>
  <si>
    <t>478x430x12,7 JUNTA SANITARIO BLANCA (PASO DE HOMBRE)</t>
  </si>
  <si>
    <t>1165-JUNTA 478</t>
  </si>
  <si>
    <t>128x104,2x30,9 JUNTA SILICONADA BLANCA (VALVULA MARIPOSA 4``)</t>
  </si>
  <si>
    <t>1165-JTAVAV 128</t>
  </si>
  <si>
    <t>H7 M. MARELLI</t>
  </si>
  <si>
    <t>H7 24W</t>
  </si>
  <si>
    <t>ACRILICO</t>
  </si>
  <si>
    <t>BAIML 634</t>
  </si>
  <si>
    <t>DIAFRAGMA</t>
  </si>
  <si>
    <t>D30</t>
  </si>
  <si>
    <t>TAPA CRISTAL DE MASAS</t>
  </si>
  <si>
    <t>MANTENIMIENTO DE RODADOS</t>
  </si>
  <si>
    <t>24x21 1 POLO 7511</t>
  </si>
  <si>
    <t>PATAS PAREJAS</t>
  </si>
  <si>
    <t>24x21 DOBLE POLO  PP 5238</t>
  </si>
  <si>
    <t>ACEITE HIDRAULICO</t>
  </si>
  <si>
    <t>FOCO</t>
  </si>
  <si>
    <t>P21/5W 2 POLOS</t>
  </si>
  <si>
    <t>FOCO W5W</t>
  </si>
  <si>
    <t>O`RING DE BOMBA (INTERIOR)</t>
  </si>
  <si>
    <t>TRABA PARA MANIJA DE VALVULA FRAUTSCHI</t>
  </si>
  <si>
    <t>TRABA PARA MANIJA INOX</t>
  </si>
  <si>
    <t>DARMET - AIRE - FORD Y VW</t>
  </si>
  <si>
    <t>VP1754</t>
  </si>
  <si>
    <t>FLETGUARD - FILTRO ACEITE MOTOR - FORD Y VW ELECTRONICO</t>
  </si>
  <si>
    <t>LF9009</t>
  </si>
  <si>
    <t>FLETGUARD - FILTRO GASOIL - FORD Y VW ELECTRONICOS</t>
  </si>
  <si>
    <t>FF5488</t>
  </si>
  <si>
    <t>CAJA DE ARCONA</t>
  </si>
  <si>
    <t>ENTE DE CONTROL DE RUTAS PROVINCIALES</t>
  </si>
  <si>
    <t>CUYO AUTO RADIO</t>
  </si>
  <si>
    <t>Mantenimiento Rodados</t>
  </si>
  <si>
    <t>CAJA DE VARAS</t>
  </si>
  <si>
    <t>BRESAN NEUMATICOS</t>
  </si>
  <si>
    <t>Reparación de Cubiertas</t>
  </si>
  <si>
    <t>CAJA DE OGAS</t>
  </si>
  <si>
    <t>LUJAN</t>
  </si>
  <si>
    <t>Artículos Limpieza</t>
  </si>
  <si>
    <t>CAJA DE CORDOBA</t>
  </si>
  <si>
    <t>CAJA DE MAURER</t>
  </si>
  <si>
    <t>CAJA DE SALDAÑEZ</t>
  </si>
  <si>
    <t>LINTI</t>
  </si>
  <si>
    <t>Psicofisico y cursos choferes</t>
  </si>
  <si>
    <t>AZUL</t>
  </si>
  <si>
    <t>CAJA DE ARRASCAETA</t>
  </si>
  <si>
    <t>TUNEL HERNANDERIAS</t>
  </si>
  <si>
    <t>CAJA NARETTO 12-10-2021</t>
  </si>
  <si>
    <t>LISTELLO MARTHA</t>
  </si>
  <si>
    <t>Repuestos y Reparaciones</t>
  </si>
  <si>
    <t>BOMBA PARA CLIMATIC</t>
  </si>
  <si>
    <t>Revi Cañuelas S.A</t>
  </si>
  <si>
    <t>TECNICAS</t>
  </si>
  <si>
    <t>Comisiones</t>
  </si>
  <si>
    <t>TRUCK WASH</t>
  </si>
  <si>
    <t>Lavados</t>
  </si>
  <si>
    <t>CAJA VARELA 01-10-2021</t>
  </si>
  <si>
    <t>CAJA LUQUE MARIO 20-10-2021</t>
  </si>
  <si>
    <t>ENTE INTERMUNICIPAL Y COMUNAL RUTA PCIAL</t>
  </si>
  <si>
    <t>COOP. DE ELECTRICIDADA V. MERCEDES</t>
  </si>
  <si>
    <t>MEDERO RAMON</t>
  </si>
  <si>
    <t>Secretaria de Transporte</t>
  </si>
  <si>
    <t>Registro pcial transporte</t>
  </si>
  <si>
    <t>Certificado de Renovación del remolque</t>
  </si>
  <si>
    <t>CELANO</t>
  </si>
  <si>
    <t>Honorarios profesionales</t>
  </si>
  <si>
    <t>viaje a Chile</t>
  </si>
  <si>
    <t>Camara de comercio Exterior de San Juan</t>
  </si>
  <si>
    <t>SANIDAD</t>
  </si>
  <si>
    <t>INSTITUTO DE SANIDAD Y CAL. AGROP. MZA</t>
  </si>
  <si>
    <t>ISOPADO</t>
  </si>
  <si>
    <t>Pandemia</t>
  </si>
  <si>
    <t>MINISTERIO DEL INTERIOR DELEGACIÓN MENDOZA</t>
  </si>
  <si>
    <t>Aduana</t>
  </si>
  <si>
    <t>PIASTRELLINI</t>
  </si>
  <si>
    <t>TELEFONO RECARGA</t>
  </si>
  <si>
    <t>Servicios de Telefonía</t>
  </si>
  <si>
    <t>direccion Nac. de Vialidad</t>
  </si>
  <si>
    <t>COMIDAS 3</t>
  </si>
  <si>
    <t>Comidas</t>
  </si>
  <si>
    <t>VIAJE A CHILE</t>
  </si>
  <si>
    <t>DESPACHANTE ADUANA</t>
  </si>
  <si>
    <t>ESTACIONAMIENTOS</t>
  </si>
  <si>
    <t>ESTACIONAMIENTO</t>
  </si>
  <si>
    <t>JORGE RAMIREZ</t>
  </si>
  <si>
    <t>PEAJES</t>
  </si>
  <si>
    <t>Ramirez</t>
  </si>
  <si>
    <t>comidas 2 días</t>
  </si>
  <si>
    <t>CAMARA DE COMERCIO EXT. SAN JUAN</t>
  </si>
  <si>
    <t>CELANO GABRIELA</t>
  </si>
  <si>
    <t>DIRECCION NACIONAL DE VIALIDAD</t>
  </si>
  <si>
    <t>INSTIT. DE CALIDAD AGROP. MENDOZA</t>
  </si>
  <si>
    <t>LAVADO DE CABINA</t>
  </si>
  <si>
    <t>RECARGA TELEFONO</t>
  </si>
  <si>
    <t>CAMARA DE COMERCIO EXTERIOR SAN JUAN</t>
  </si>
  <si>
    <t>DIRECCION NAC. DE VIALIDAD</t>
  </si>
  <si>
    <t>INSTITUTO DE CALIDAD AGROP. MZA.</t>
  </si>
  <si>
    <t>DESPACHANTE DE ADUANA</t>
  </si>
  <si>
    <t>PARQUEADERO</t>
  </si>
  <si>
    <t>RAMIREZ</t>
  </si>
  <si>
    <t>ANGEL RENE BRANDAN</t>
  </si>
  <si>
    <t>CAJA BRUNOTTO D 4-10-2021</t>
  </si>
  <si>
    <t>CAMARA DE COMERCIO EXTERIOR DE SAN JUAN</t>
  </si>
  <si>
    <t>ISCAMEN GOBIERNO DE MENDOZA</t>
  </si>
  <si>
    <t>CAMARA DE COMERCIO EXT DE SAN JUAN</t>
  </si>
  <si>
    <t>CAJA BRUNOTTO D. 14-10-2021</t>
  </si>
  <si>
    <t>LAVADO DE TANQUE EXTERIOR</t>
  </si>
  <si>
    <t>GOMERIA EL LIDER ROLFO CLAUDIO</t>
  </si>
  <si>
    <t>GOMERIA 3 LLANTAS</t>
  </si>
  <si>
    <t>MONTE DE ROBLES S.R.L.</t>
  </si>
  <si>
    <t>CAJA DE GARRIDO</t>
  </si>
  <si>
    <t>FERRETERIA LUCHETTI</t>
  </si>
  <si>
    <t>RTV NACIONAL S.A.</t>
  </si>
  <si>
    <t>CAJA KEMERER 27-10-2021</t>
  </si>
  <si>
    <t>LEONIDAS GASTON CORDI SYLL COR</t>
  </si>
  <si>
    <t>PSICOFISICO KEMERER 01-11-2021</t>
  </si>
  <si>
    <t>ALCAJE FERNANDO</t>
  </si>
  <si>
    <t>CAJA DE RODRIGUEZ</t>
  </si>
  <si>
    <t>EMPRENDIMIENTOS SRL</t>
  </si>
  <si>
    <t>Movilidad</t>
  </si>
  <si>
    <t>TRAMAT SA</t>
  </si>
  <si>
    <t>CAJA ACEVEDO HUGO 14-10-2021</t>
  </si>
  <si>
    <t>HERRERA GONZALES CARLOS OSCAR</t>
  </si>
  <si>
    <t>CAJA ACEVEDO 25-10-2021</t>
  </si>
  <si>
    <t>CAMARA EMP. DEL AUT. DE C. DE CBA</t>
  </si>
  <si>
    <t>Comisionista</t>
  </si>
  <si>
    <t>VERIFICAR S.A.</t>
  </si>
  <si>
    <t>CAJA VARELA 15-10-2021</t>
  </si>
  <si>
    <t>CAJA 2 VARELA 15-10-2021</t>
  </si>
  <si>
    <t>CAJA VARELA 21-10-2021</t>
  </si>
  <si>
    <t>GOMERIA LEO MAURICIO DANIEL RODRIGUEZ</t>
  </si>
  <si>
    <t>INSTITUTO DE SANIDAD Y CALIDAD AGROPECUARIA DE MENDOZA</t>
  </si>
  <si>
    <t>PARQUEADERO "EL COCO"</t>
  </si>
  <si>
    <t>CAJA BOSETTI 04-10-2021</t>
  </si>
  <si>
    <t>CAJA BOSETTI 20-10-2021</t>
  </si>
  <si>
    <t>GALLO MARIANA</t>
  </si>
  <si>
    <t>NO TIENE COMPROBANTE (SE HIZO RECIBO)</t>
  </si>
  <si>
    <t>GOMERIA LA ESTANCIA</t>
  </si>
  <si>
    <t>RAFAELA R.T.V. SA</t>
  </si>
  <si>
    <t>SENASA</t>
  </si>
  <si>
    <t>Senasa</t>
  </si>
  <si>
    <t>TIP TRANS</t>
  </si>
  <si>
    <t>NUM DOC</t>
  </si>
  <si>
    <t>DESTINATARIO</t>
  </si>
  <si>
    <t>DESCRIPCION</t>
  </si>
  <si>
    <t>NOTA</t>
  </si>
  <si>
    <t>GASTOS - OCTUBRE 2021</t>
  </si>
  <si>
    <t>EgCons Int</t>
  </si>
  <si>
    <t>EVMV</t>
  </si>
  <si>
    <t>Fact Comp</t>
  </si>
  <si>
    <t>NotCr Comp</t>
  </si>
  <si>
    <t>ReGlob Gast</t>
  </si>
  <si>
    <t>Total AB248KW</t>
  </si>
  <si>
    <t>Total AB248KX</t>
  </si>
  <si>
    <t>Total AB445UF</t>
  </si>
  <si>
    <t>Total AC121PL</t>
  </si>
  <si>
    <t>Total AD372WJ</t>
  </si>
  <si>
    <t>Total AD900VK</t>
  </si>
  <si>
    <t>Total AE205GG</t>
  </si>
  <si>
    <t>Total AE205GV</t>
  </si>
  <si>
    <t>Total AE721WX</t>
  </si>
  <si>
    <t>Total AE852ZL</t>
  </si>
  <si>
    <t>Total AE852ZM</t>
  </si>
  <si>
    <t>Total ALD240</t>
  </si>
  <si>
    <t>Total CVC716</t>
  </si>
  <si>
    <t>Total GET034</t>
  </si>
  <si>
    <t>Total GET035</t>
  </si>
  <si>
    <t>Total GKQ544</t>
  </si>
  <si>
    <t>Total GKQ545</t>
  </si>
  <si>
    <t>Total GKQ552</t>
  </si>
  <si>
    <t>Total GON230</t>
  </si>
  <si>
    <t>Total GON265</t>
  </si>
  <si>
    <t>Total GON266</t>
  </si>
  <si>
    <t>Total GZR379</t>
  </si>
  <si>
    <t>Total GZR380</t>
  </si>
  <si>
    <t>Total HPK860</t>
  </si>
  <si>
    <t>Total HWF109</t>
  </si>
  <si>
    <t>Total IGN994</t>
  </si>
  <si>
    <t>Total IUU333</t>
  </si>
  <si>
    <t>Total IZG297</t>
  </si>
  <si>
    <t>Total JAO482</t>
  </si>
  <si>
    <t>Total JIS241</t>
  </si>
  <si>
    <t>Total JIS373</t>
  </si>
  <si>
    <t>Total JQG239</t>
  </si>
  <si>
    <t>Total JRY687</t>
  </si>
  <si>
    <t>Total JUY549</t>
  </si>
  <si>
    <t>Total KNA502</t>
  </si>
  <si>
    <t>Total KNA503</t>
  </si>
  <si>
    <t>Total KNA504</t>
  </si>
  <si>
    <t>Total KNA506</t>
  </si>
  <si>
    <t>Total KOE278</t>
  </si>
  <si>
    <t>Total LUY732</t>
  </si>
  <si>
    <t>Total LUY733</t>
  </si>
  <si>
    <t>Total LUY749</t>
  </si>
  <si>
    <t>Total LUY751</t>
  </si>
  <si>
    <t>Total MAV543</t>
  </si>
  <si>
    <t>Total ORN983</t>
  </si>
  <si>
    <t>Total ORO025</t>
  </si>
  <si>
    <t>Total PAF811</t>
  </si>
  <si>
    <t>Total POW856</t>
  </si>
  <si>
    <t>Total VMY280</t>
  </si>
  <si>
    <t>TOTAL GENERAL</t>
  </si>
  <si>
    <t>GASTOS TRACTOR - OCTUBRE 2021</t>
  </si>
  <si>
    <t>GASTOS SEMI - OCTUBRE 2021</t>
  </si>
  <si>
    <t>Resumen Informe de Rentabilidad</t>
  </si>
  <si>
    <t>TOTAL PROPIOS</t>
  </si>
  <si>
    <t>TOTAL FLET ARROYITO</t>
  </si>
  <si>
    <t>TOTAL FLET VILLA MERCEDES</t>
  </si>
  <si>
    <t>TOTAL FLET CON SEMI PROPIO</t>
  </si>
  <si>
    <t>TOTAL UNIDADES SIN USO</t>
  </si>
  <si>
    <t>TOTAL RENTABILIDAD</t>
  </si>
  <si>
    <t>DIF MES ANTERIOR</t>
  </si>
  <si>
    <t xml:space="preserve">PROMEDIO DIF </t>
  </si>
  <si>
    <t>TOTAL KILOMETROS</t>
  </si>
  <si>
    <t>TOTAL $ x KM</t>
  </si>
  <si>
    <t>UNIDADES PROPIAS</t>
  </si>
  <si>
    <t>SEMI QUE UTILIZÓ</t>
  </si>
  <si>
    <t>TOTAL RENT</t>
  </si>
  <si>
    <t>$ x KM</t>
  </si>
  <si>
    <t>UNID SIN USO</t>
  </si>
  <si>
    <t>-</t>
  </si>
  <si>
    <t>BCC975_VIAR</t>
  </si>
  <si>
    <t>UNIDA SIN USO</t>
  </si>
  <si>
    <t>KOE278_VIAR</t>
  </si>
  <si>
    <t>FLETEROS ARROYITO</t>
  </si>
  <si>
    <t>FUB431_CUGNO G</t>
  </si>
  <si>
    <t>EPR172_GUAL</t>
  </si>
  <si>
    <t>HFJ834_GUAL</t>
  </si>
  <si>
    <t>AA562JP_SCAMER</t>
  </si>
  <si>
    <t>AB267ME_SCAMER</t>
  </si>
  <si>
    <t>JMY346_SCAMER</t>
  </si>
  <si>
    <t>KAF077_SCAMER</t>
  </si>
  <si>
    <t>KAF077</t>
  </si>
  <si>
    <t>FLETEROS VILLA MERCEDES</t>
  </si>
  <si>
    <t>AA996WC_CASTILLO J</t>
  </si>
  <si>
    <t>IHI549_ITATI</t>
  </si>
  <si>
    <t>IPV778_ITATI</t>
  </si>
  <si>
    <t>HAU361_LOPEZ L</t>
  </si>
  <si>
    <t>OMA273_LOPEZ L</t>
  </si>
  <si>
    <t>AC969MU_S.Y.L</t>
  </si>
  <si>
    <t>OVQ005_S.Y.L</t>
  </si>
  <si>
    <t>PIA309_S.Y.L</t>
  </si>
  <si>
    <t>FLETEROS CON SEMI PROPIO</t>
  </si>
  <si>
    <t>BZJ105</t>
  </si>
  <si>
    <t>CYS349</t>
  </si>
  <si>
    <t>GKW587</t>
  </si>
  <si>
    <t>PROMEDIOS COMBUSTIBLE (S/ INF DE RENTABILIDAD)</t>
  </si>
  <si>
    <t>MODELO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</si>
  <si>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</si>
  <si>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</si>
  <si>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</si>
  <si>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</si>
  <si>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</si>
  <si>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</si>
  <si>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</si>
  <si>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</si>
  <si>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</si>
  <si>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</si>
  <si>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</si>
  <si>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</si>
  <si>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 TOTAL POR UNIDAD</t>
  </si>
  <si>
    <t>S/ INF DE RENT</t>
  </si>
  <si>
    <t>IVECO 450</t>
  </si>
  <si>
    <t>IVECO</t>
  </si>
  <si>
    <t>CAVALLIINO</t>
  </si>
  <si>
    <t>RENAULT</t>
  </si>
  <si>
    <t>HWF 024</t>
  </si>
  <si>
    <t>HWF 026</t>
  </si>
  <si>
    <t>JRY 934</t>
  </si>
  <si>
    <t>SCANIA</t>
  </si>
  <si>
    <t>JZP 219</t>
  </si>
  <si>
    <t xml:space="preserve">VOLVO </t>
  </si>
  <si>
    <t>VOLKSWAGEN</t>
  </si>
  <si>
    <t>PROMEDIO GENERAL POR MES</t>
  </si>
  <si>
    <t>PROMEDIO GENERAL</t>
  </si>
  <si>
    <t>CHOFERES ARROYITO</t>
  </si>
  <si>
    <t>ARDILES</t>
  </si>
  <si>
    <t>CUGNO E</t>
  </si>
  <si>
    <t>CUGNO G</t>
  </si>
  <si>
    <t>CUGNO M</t>
  </si>
  <si>
    <t>GENTA</t>
  </si>
  <si>
    <t>GIACONE</t>
  </si>
  <si>
    <t>GUAL</t>
  </si>
  <si>
    <t>HFJ834</t>
  </si>
  <si>
    <t>AA562JP</t>
  </si>
  <si>
    <t>SCAMER</t>
  </si>
  <si>
    <t>TOTAL KM</t>
  </si>
  <si>
    <t>DIF CON UNID PROPIAS</t>
  </si>
  <si>
    <t>DIF A FAV DE UNIDADES PROPIAS</t>
  </si>
  <si>
    <t>PROMEDIO KM UNIDADES PROPIAS</t>
  </si>
  <si>
    <t>PROMEDIO KM FLET ARROYITO</t>
  </si>
  <si>
    <t>TOTAL COSTO CHOFERES ARROYITO</t>
  </si>
  <si>
    <t>PROMEDIO KM GENERAL</t>
  </si>
  <si>
    <t>Promedio</t>
  </si>
  <si>
    <t>TOTAL KM CHOF VILLA MERC</t>
  </si>
  <si>
    <t>PROMEDIO COSTO X CHOFER (13 CHOFERES)</t>
  </si>
  <si>
    <t>TOTAL KM FLET VILLA MERC</t>
  </si>
  <si>
    <t>TOTAL KM VILLA MERC</t>
  </si>
  <si>
    <t>$ x km CHOFERES ARROYITO</t>
  </si>
  <si>
    <t>VILLA MERCEDES</t>
  </si>
  <si>
    <t>ARROYITO</t>
  </si>
  <si>
    <t>TOTAL RENTABILIDAD PROPIOS</t>
  </si>
  <si>
    <t>TOTAL RENTABILIDAD FLETEROS ARROYITO</t>
  </si>
  <si>
    <t>TOTAL RENTABILIDAD FLETEROS VILLA MERCEDES</t>
  </si>
  <si>
    <t>TOTAL RENTABILIDAD FLETEROS SEMI PROPIOS</t>
  </si>
  <si>
    <t>TOTAL GASTOS UNIDADES SIN USO</t>
  </si>
  <si>
    <t>TOTAL KM FLETEROS ARROYITO</t>
  </si>
  <si>
    <t>TOTAL KM FLETEROS VILLA MERCEDES</t>
  </si>
  <si>
    <t>TOTAL KM FLETEROS SEMI PROPIO</t>
  </si>
  <si>
    <t xml:space="preserve">TOTAL RENTABILIDAD ENERO </t>
  </si>
  <si>
    <t xml:space="preserve">TOTAL RENTABILIDAD FEBRERO </t>
  </si>
  <si>
    <t xml:space="preserve">TOTAL RENTABILIDAD MARZO </t>
  </si>
  <si>
    <t>TOTAL RENTABILIDAD ABRIL</t>
  </si>
  <si>
    <t>TOTAL RENTABILIDAD MAYO</t>
  </si>
  <si>
    <t>TOTAL RENTABILIDAD JUNIO</t>
  </si>
  <si>
    <t>TOTAL RENTABILIDAD JULIO</t>
  </si>
  <si>
    <t>TOTAL RENTABILIDAD AGOSTO</t>
  </si>
  <si>
    <t>TOTAL RENTABILIDAD SEPTIEMBRE</t>
  </si>
  <si>
    <t>TOTAL RENTABILIDAD ENERO (PROPIOS)</t>
  </si>
  <si>
    <t>TOTAL RENTABILIDAD FEBRERO (PROPIOS)</t>
  </si>
  <si>
    <t>TOTAL RENTABILIDAD MARZO (PROPIOS)</t>
  </si>
  <si>
    <t>TOTAL RENTABILIDAD ABRIL (PROPIOS)</t>
  </si>
  <si>
    <t>TOTAL RENTABILIDAD MAYO (PROPIOS)</t>
  </si>
  <si>
    <t>TOTAL RENTABILIDAD JUNIO (PROPIOS)</t>
  </si>
  <si>
    <t>TOTAL RENTABILIDAD JULIO (PROPIOS)</t>
  </si>
  <si>
    <t>TOTAL RENTABILIDAD AGOSTO (PROPIOS)</t>
  </si>
  <si>
    <t>TOTAL RENTABILIDAD SEPTIEMBRE (PROPIOS)</t>
  </si>
  <si>
    <t>FLETEROS SEMI PROPIO</t>
  </si>
  <si>
    <t>TOTAL FLETEROS SEMI PROPIO</t>
  </si>
  <si>
    <t>DKQ501</t>
  </si>
  <si>
    <t>TOTAL GASTOS UNID SIN USO</t>
  </si>
  <si>
    <t>RENTABILIDAD OCTUBRE 2021</t>
  </si>
  <si>
    <t>SIN USO</t>
  </si>
  <si>
    <t>TOTAL RENTABILIDAD OCTUBRE</t>
  </si>
  <si>
    <t>TOTAL RENTABILIDAD OCTUBRE (PROPIOS)</t>
  </si>
  <si>
    <t>Consumo real 28,90 lts</t>
  </si>
  <si>
    <t>Consumo real 33,06 lts</t>
  </si>
  <si>
    <t>consumo real 31,44 lts</t>
  </si>
  <si>
    <t>Consumo real 36,63 lts</t>
  </si>
  <si>
    <t>Consumo real 33,30 lts</t>
  </si>
  <si>
    <t>consumo real 31,12 lts</t>
  </si>
  <si>
    <t>Consumo real 34,22 lts</t>
  </si>
  <si>
    <t>CONSUMO REAL 33,76 LTS</t>
  </si>
  <si>
    <t>CONSUMO REAL 25,45 LTS</t>
  </si>
  <si>
    <t>Consumo real 35,72 lts</t>
  </si>
  <si>
    <t>Consumo real 34,71 lts.</t>
  </si>
  <si>
    <t>Consumo real 37,41 lts</t>
  </si>
  <si>
    <t>Total Km</t>
  </si>
  <si>
    <t>Operaciones</t>
  </si>
  <si>
    <t>subset_df</t>
  </si>
  <si>
    <t>seguir desde aca</t>
  </si>
  <si>
    <t>peso real 
transportado</t>
  </si>
  <si>
    <t>Tipo</t>
  </si>
  <si>
    <t>Tractor</t>
  </si>
  <si>
    <t>Sin Uso</t>
  </si>
  <si>
    <t>Precio nueva</t>
  </si>
  <si>
    <t>P. recapado</t>
  </si>
  <si>
    <t>Km est nueva</t>
  </si>
  <si>
    <t>Km est recapado</t>
  </si>
  <si>
    <t xml:space="preserve"> Cant. Ejes</t>
  </si>
  <si>
    <t>Cant. 
Cubiertas</t>
  </si>
  <si>
    <t>zzzz</t>
  </si>
  <si>
    <t>xxxxx</t>
  </si>
  <si>
    <t>Modelo</t>
  </si>
  <si>
    <t>otro</t>
  </si>
  <si>
    <t>Observaciones</t>
  </si>
  <si>
    <t>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</si>
</sst>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&quot;$&quot;\ * #,##0.00_ ;_ &quot;$&quot;\ * \-#,##0.00_ ;_ &quot;$&quot;\ * &quot;-&quot;??_ ;_ @_ "/>
    <numFmt numFmtId="165" formatCode="#,##0.00_ ;\-#,##0.00\ "/>
    <numFmt numFmtId="166" formatCode="_-&quot;$&quot;* #,##0.00_-;\-&quot;$&quot;* #,##0.00_-;_-&quot;$&quot;* &quot;-&quot;??_-;_-@_-"/>
    <numFmt numFmtId="167" formatCode="0.0"/>
    <numFmt numFmtId="168" formatCode="&quot;$&quot;\ #,##0.00"/>
    <numFmt numFmtId="169" formatCode="#,##0.000"/>
    <numFmt numFmtId="170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i/>
      <sz val="14"/>
      <color rgb="FFFFFF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</cellStyleXfs>
  <cellXfs count="75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2" fillId="5" borderId="1" xfId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10" fontId="0" fillId="0" borderId="1" xfId="3" applyNumberFormat="1" applyFon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0" fillId="0" borderId="4" xfId="0" applyNumberFormat="1" applyFont="1" applyFill="1" applyBorder="1" applyAlignment="1"/>
    <xf numFmtId="164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2" fillId="0" borderId="1" xfId="0" applyNumberFormat="1" applyFont="1" applyBorder="1"/>
    <xf numFmtId="164" fontId="2" fillId="0" borderId="1" xfId="0" applyNumberFormat="1" applyFont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4" fontId="0" fillId="3" borderId="3" xfId="1" applyFont="1" applyFill="1" applyBorder="1" applyAlignment="1">
      <alignment horizontal="center" vertical="center"/>
    </xf>
    <xf numFmtId="14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44" fontId="0" fillId="7" borderId="1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44" fontId="0" fillId="3" borderId="3" xfId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4" fontId="0" fillId="0" borderId="2" xfId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44" fontId="0" fillId="6" borderId="3" xfId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0" fillId="7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1" fontId="0" fillId="6" borderId="2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4" fontId="2" fillId="0" borderId="0" xfId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4" fontId="4" fillId="3" borderId="2" xfId="1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4" fontId="4" fillId="3" borderId="3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44" fontId="0" fillId="3" borderId="3" xfId="1" applyFont="1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44" fontId="0" fillId="6" borderId="3" xfId="1" applyFont="1" applyFill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" fontId="0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" fontId="0" fillId="6" borderId="1" xfId="0" applyNumberFormat="1" applyFont="1" applyFill="1" applyBorder="1" applyAlignment="1">
      <alignment horizontal="center" vertical="center"/>
    </xf>
    <xf numFmtId="44" fontId="1" fillId="6" borderId="1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" fontId="0" fillId="4" borderId="1" xfId="0" applyNumberFormat="1" applyFont="1" applyFill="1" applyBorder="1" applyAlignment="1">
      <alignment horizontal="center" vertical="center"/>
    </xf>
    <xf numFmtId="44" fontId="1" fillId="4" borderId="1" xfId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8" fontId="7" fillId="0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8" fontId="9" fillId="5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4" fontId="0" fillId="10" borderId="1" xfId="0" applyNumberFormat="1" applyFont="1" applyFill="1" applyBorder="1" applyAlignment="1">
      <alignment horizontal="center" vertical="center"/>
    </xf>
    <xf numFmtId="44" fontId="1" fillId="10" borderId="1" xfId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4" fontId="0" fillId="11" borderId="1" xfId="0" applyNumberFormat="1" applyFont="1" applyFill="1" applyBorder="1" applyAlignment="1">
      <alignment horizontal="center" vertical="center"/>
    </xf>
    <xf numFmtId="44" fontId="1" fillId="11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" fontId="0" fillId="0" borderId="0" xfId="0" applyNumberFormat="1" applyFont="1" applyFill="1" applyAlignment="1">
      <alignment horizontal="center" vertical="center"/>
    </xf>
    <xf numFmtId="169" fontId="0" fillId="0" borderId="0" xfId="0" applyNumberFormat="1" applyFont="1" applyFill="1" applyAlignment="1">
      <alignment horizontal="center" vertical="center"/>
    </xf>
    <xf numFmtId="4" fontId="4" fillId="0" borderId="0" xfId="0" applyNumberFormat="1" applyFont="1" applyFill="1" applyAlignment="1">
      <alignment horizontal="center" vertical="center"/>
    </xf>
    <xf numFmtId="169" fontId="4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/>
    </xf>
    <xf numFmtId="169" fontId="2" fillId="5" borderId="1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69" fontId="0" fillId="6" borderId="1" xfId="3" applyNumberFormat="1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169" fontId="0" fillId="4" borderId="1" xfId="3" applyNumberFormat="1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" fontId="0" fillId="0" borderId="1" xfId="0" applyNumberFormat="1" applyFill="1" applyBorder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4" fontId="0" fillId="10" borderId="1" xfId="0" applyNumberFormat="1" applyFill="1" applyBorder="1" applyAlignment="1">
      <alignment horizontal="center" vertical="center"/>
    </xf>
    <xf numFmtId="44" fontId="0" fillId="10" borderId="1" xfId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" fontId="0" fillId="11" borderId="1" xfId="0" applyNumberFormat="1" applyFill="1" applyBorder="1" applyAlignment="1">
      <alignment horizontal="center" vertical="center"/>
    </xf>
    <xf numFmtId="44" fontId="0" fillId="11" borderId="1" xfId="1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169" fontId="0" fillId="11" borderId="1" xfId="3" applyNumberFormat="1" applyFont="1" applyFill="1" applyBorder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169" fontId="0" fillId="10" borderId="1" xfId="3" applyNumberFormat="1" applyFont="1" applyFill="1" applyBorder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4" fontId="15" fillId="0" borderId="1" xfId="1" applyFont="1" applyBorder="1" applyAlignment="1">
      <alignment horizontal="center" vertical="center"/>
    </xf>
    <xf numFmtId="0" fontId="15" fillId="0" borderId="1" xfId="5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15" fillId="0" borderId="1" xfId="5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15" fillId="0" borderId="1" xfId="4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13" fillId="5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14" fillId="5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44" fontId="2" fillId="6" borderId="1" xfId="1" applyFont="1" applyFill="1" applyBorder="1" applyAlignment="1">
      <alignment horizontal="center" vertical="center"/>
    </xf>
    <xf numFmtId="14" fontId="16" fillId="6" borderId="1" xfId="5" applyNumberFormat="1" applyFont="1" applyFill="1" applyBorder="1" applyAlignment="1">
      <alignment horizontal="center" vertical="center"/>
    </xf>
    <xf numFmtId="0" fontId="16" fillId="6" borderId="1" xfId="5" applyNumberFormat="1" applyFont="1" applyFill="1" applyBorder="1" applyAlignment="1">
      <alignment horizontal="center" vertical="center"/>
    </xf>
    <xf numFmtId="2" fontId="16" fillId="6" borderId="1" xfId="4" applyNumberFormat="1" applyFont="1" applyFill="1" applyBorder="1" applyAlignment="1">
      <alignment horizontal="center" vertical="center"/>
    </xf>
    <xf numFmtId="44" fontId="17" fillId="0" borderId="1" xfId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7" fillId="12" borderId="1" xfId="0" applyNumberFormat="1" applyFont="1" applyFill="1" applyBorder="1" applyAlignment="1">
      <alignment horizontal="center" vertical="center"/>
    </xf>
    <xf numFmtId="44" fontId="17" fillId="0" borderId="1" xfId="0" applyNumberFormat="1" applyFont="1" applyFill="1" applyBorder="1" applyAlignment="1">
      <alignment horizontal="center" vertical="center"/>
    </xf>
    <xf numFmtId="170" fontId="17" fillId="0" borderId="1" xfId="0" applyNumberFormat="1" applyFont="1" applyFill="1" applyBorder="1" applyAlignment="1">
      <alignment horizontal="center" vertical="center"/>
    </xf>
    <xf numFmtId="0" fontId="2" fillId="12" borderId="1" xfId="1" applyNumberFormat="1" applyFont="1" applyFill="1" applyBorder="1" applyAlignment="1">
      <alignment horizontal="center" vertical="center" wrapText="1"/>
    </xf>
    <xf numFmtId="44" fontId="2" fillId="12" borderId="1" xfId="1" applyFont="1" applyFill="1" applyBorder="1" applyAlignment="1">
      <alignment horizontal="center" vertical="center" wrapText="1"/>
    </xf>
    <xf numFmtId="0" fontId="18" fillId="12" borderId="1" xfId="1" applyNumberFormat="1" applyFont="1" applyFill="1" applyBorder="1" applyAlignment="1">
      <alignment horizontal="center" vertical="center" wrapText="1"/>
    </xf>
    <xf numFmtId="0" fontId="18" fillId="12" borderId="1" xfId="0" applyNumberFormat="1" applyFont="1" applyFill="1" applyBorder="1" applyAlignment="1">
      <alignment horizontal="center" vertical="center" wrapText="1"/>
    </xf>
    <xf numFmtId="0" fontId="2" fillId="12" borderId="1" xfId="0" applyNumberFormat="1" applyFont="1" applyFill="1" applyBorder="1" applyAlignment="1">
      <alignment horizontal="center" vertical="center" wrapText="1"/>
    </xf>
    <xf numFmtId="0" fontId="2" fillId="12" borderId="1" xfId="1" applyNumberFormat="1" applyFon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4" fontId="0" fillId="9" borderId="1" xfId="1" applyFont="1" applyFill="1" applyBorder="1" applyAlignment="1">
      <alignment horizontal="center" vertical="center"/>
    </xf>
    <xf numFmtId="4" fontId="0" fillId="9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4" fontId="0" fillId="12" borderId="1" xfId="1" applyFont="1" applyFill="1" applyBorder="1" applyAlignment="1">
      <alignment horizontal="center" vertical="center"/>
    </xf>
    <xf numFmtId="4" fontId="0" fillId="12" borderId="1" xfId="0" applyNumberFormat="1" applyFill="1" applyBorder="1" applyAlignment="1">
      <alignment horizontal="center" vertical="center"/>
    </xf>
    <xf numFmtId="44" fontId="17" fillId="12" borderId="1" xfId="1" applyFont="1" applyFill="1" applyBorder="1" applyAlignment="1">
      <alignment horizontal="center" vertical="center"/>
    </xf>
    <xf numFmtId="44" fontId="17" fillId="12" borderId="1" xfId="0" applyNumberFormat="1" applyFont="1" applyFill="1" applyBorder="1" applyAlignment="1">
      <alignment horizontal="center" vertical="center"/>
    </xf>
    <xf numFmtId="170" fontId="17" fillId="12" borderId="1" xfId="0" applyNumberFormat="1" applyFont="1" applyFill="1" applyBorder="1" applyAlignment="1">
      <alignment horizontal="center" vertical="center"/>
    </xf>
    <xf numFmtId="166" fontId="0" fillId="9" borderId="1" xfId="0" applyNumberFormat="1" applyFill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2" fillId="5" borderId="15" xfId="0" applyNumberFormat="1" applyFont="1" applyFill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10" fontId="2" fillId="5" borderId="1" xfId="3" applyNumberFormat="1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2" fillId="5" borderId="15" xfId="0" applyNumberFormat="1" applyFont="1" applyFill="1" applyBorder="1" applyAlignment="1">
      <alignment horizontal="center" vertical="center"/>
    </xf>
    <xf numFmtId="3" fontId="2" fillId="5" borderId="2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44" fontId="2" fillId="5" borderId="15" xfId="1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44" fontId="2" fillId="5" borderId="15" xfId="1" applyFont="1" applyFill="1" applyBorder="1" applyAlignment="1">
      <alignment horizontal="center"/>
    </xf>
    <xf numFmtId="164" fontId="0" fillId="0" borderId="0" xfId="0" applyNumberFormat="1"/>
    <xf numFmtId="0" fontId="0" fillId="0" borderId="0" xfId="0" applyNumberFormat="1" applyFill="1"/>
    <xf numFmtId="2" fontId="0" fillId="13" borderId="0" xfId="0" applyNumberFormat="1" applyFill="1"/>
    <xf numFmtId="2" fontId="0" fillId="0" borderId="0" xfId="0" applyNumberFormat="1" applyFill="1"/>
    <xf numFmtId="2" fontId="0" fillId="0" borderId="0" xfId="0" applyNumberFormat="1"/>
    <xf numFmtId="0" fontId="2" fillId="5" borderId="0" xfId="0" applyFont="1" applyFill="1" applyAlignment="1">
      <alignment horizontal="left" vertical="center"/>
    </xf>
    <xf numFmtId="44" fontId="0" fillId="0" borderId="1" xfId="1" applyFont="1" applyFill="1" applyBorder="1" applyAlignment="1">
      <alignment horizontal="center" vertical="center" wrapText="1"/>
    </xf>
    <xf numFmtId="44" fontId="0" fillId="4" borderId="2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4" fontId="2" fillId="5" borderId="1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4" fontId="0" fillId="6" borderId="1" xfId="0" applyNumberFormat="1" applyFill="1" applyBorder="1" applyAlignment="1">
      <alignment horizontal="center" vertical="center" wrapText="1"/>
    </xf>
    <xf numFmtId="44" fontId="2" fillId="6" borderId="1" xfId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4" fontId="2" fillId="4" borderId="1" xfId="1" applyFont="1" applyFill="1" applyBorder="1" applyAlignment="1">
      <alignment horizontal="center" vertical="center" wrapText="1"/>
    </xf>
    <xf numFmtId="4" fontId="0" fillId="4" borderId="1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4" fontId="2" fillId="6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44" fontId="2" fillId="10" borderId="1" xfId="1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17" fontId="2" fillId="14" borderId="19" xfId="0" applyNumberFormat="1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horizontal="center" vertical="center"/>
    </xf>
    <xf numFmtId="17" fontId="2" fillId="14" borderId="15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3" fontId="0" fillId="0" borderId="1" xfId="1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44" fontId="2" fillId="14" borderId="32" xfId="1" applyFont="1" applyFill="1" applyBorder="1" applyAlignment="1">
      <alignment horizontal="center" vertical="center"/>
    </xf>
    <xf numFmtId="0" fontId="2" fillId="14" borderId="33" xfId="0" applyFont="1" applyFill="1" applyBorder="1" applyAlignment="1">
      <alignment horizontal="center" vertical="center"/>
    </xf>
    <xf numFmtId="44" fontId="2" fillId="14" borderId="34" xfId="1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44" fontId="0" fillId="0" borderId="8" xfId="1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44" fontId="1" fillId="0" borderId="1" xfId="1" applyFont="1" applyBorder="1" applyAlignment="1">
      <alignment horizontal="center" vertical="center"/>
    </xf>
    <xf numFmtId="3" fontId="0" fillId="0" borderId="2" xfId="1" applyNumberFormat="1" applyFont="1" applyFill="1" applyBorder="1" applyAlignment="1">
      <alignment horizontal="center" vertical="center"/>
    </xf>
    <xf numFmtId="44" fontId="2" fillId="14" borderId="22" xfId="1" applyFont="1" applyFill="1" applyBorder="1" applyAlignment="1">
      <alignment horizontal="center" vertical="center"/>
    </xf>
    <xf numFmtId="44" fontId="0" fillId="0" borderId="12" xfId="1" applyFont="1" applyFill="1" applyBorder="1" applyAlignment="1">
      <alignment horizontal="center" vertical="center"/>
    </xf>
    <xf numFmtId="44" fontId="0" fillId="0" borderId="52" xfId="1" applyFont="1" applyFill="1" applyBorder="1" applyAlignment="1">
      <alignment horizontal="center" vertical="center"/>
    </xf>
    <xf numFmtId="44" fontId="0" fillId="0" borderId="44" xfId="1" applyFont="1" applyFill="1" applyBorder="1" applyAlignment="1">
      <alignment horizontal="center" vertical="center"/>
    </xf>
    <xf numFmtId="44" fontId="0" fillId="0" borderId="51" xfId="1" applyFont="1" applyFill="1" applyBorder="1" applyAlignment="1">
      <alignment horizontal="center" vertical="center"/>
    </xf>
    <xf numFmtId="44" fontId="0" fillId="0" borderId="45" xfId="1" applyFont="1" applyFill="1" applyBorder="1" applyAlignment="1">
      <alignment horizontal="center" vertical="center"/>
    </xf>
    <xf numFmtId="44" fontId="0" fillId="0" borderId="24" xfId="1" applyFont="1" applyFill="1" applyBorder="1" applyAlignment="1">
      <alignment horizontal="center" vertical="center"/>
    </xf>
    <xf numFmtId="44" fontId="0" fillId="0" borderId="19" xfId="1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44" fontId="0" fillId="0" borderId="55" xfId="1" applyFont="1" applyFill="1" applyBorder="1" applyAlignment="1">
      <alignment horizontal="center" vertical="center"/>
    </xf>
    <xf numFmtId="2" fontId="2" fillId="12" borderId="57" xfId="0" applyNumberFormat="1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2" fontId="2" fillId="12" borderId="15" xfId="0" applyNumberFormat="1" applyFont="1" applyFill="1" applyBorder="1" applyAlignment="1">
      <alignment horizontal="center" vertical="center"/>
    </xf>
    <xf numFmtId="0" fontId="2" fillId="12" borderId="29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4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0" fontId="2" fillId="12" borderId="20" xfId="0" applyFont="1" applyFill="1" applyBorder="1" applyAlignment="1">
      <alignment horizontal="center"/>
    </xf>
    <xf numFmtId="0" fontId="2" fillId="12" borderId="20" xfId="0" applyFont="1" applyFill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0" fontId="2" fillId="12" borderId="31" xfId="0" applyFont="1" applyFill="1" applyBorder="1" applyAlignment="1">
      <alignment horizontal="center"/>
    </xf>
    <xf numFmtId="0" fontId="2" fillId="12" borderId="31" xfId="0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31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2" fillId="15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5" fillId="16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3" fontId="0" fillId="9" borderId="1" xfId="1" applyNumberFormat="1" applyFont="1" applyFill="1" applyBorder="1" applyAlignment="1">
      <alignment horizontal="center" vertical="center"/>
    </xf>
    <xf numFmtId="164" fontId="0" fillId="9" borderId="30" xfId="0" applyNumberFormat="1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18" borderId="20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44" fontId="0" fillId="18" borderId="1" xfId="1" applyFont="1" applyFill="1" applyBorder="1" applyAlignment="1">
      <alignment horizontal="center" vertical="center"/>
    </xf>
    <xf numFmtId="3" fontId="0" fillId="18" borderId="1" xfId="1" applyNumberFormat="1" applyFont="1" applyFill="1" applyBorder="1" applyAlignment="1">
      <alignment horizontal="center" vertical="center"/>
    </xf>
    <xf numFmtId="164" fontId="0" fillId="18" borderId="30" xfId="0" applyNumberFormat="1" applyFont="1" applyFill="1" applyBorder="1" applyAlignment="1">
      <alignment horizontal="center" vertical="center"/>
    </xf>
    <xf numFmtId="44" fontId="2" fillId="18" borderId="29" xfId="1" applyFont="1" applyFill="1" applyBorder="1" applyAlignment="1">
      <alignment horizontal="center" vertical="center"/>
    </xf>
    <xf numFmtId="44" fontId="2" fillId="18" borderId="20" xfId="0" applyNumberFormat="1" applyFont="1" applyFill="1" applyBorder="1" applyAlignment="1">
      <alignment horizontal="center" vertical="center"/>
    </xf>
    <xf numFmtId="44" fontId="2" fillId="9" borderId="20" xfId="0" applyNumberFormat="1" applyFont="1" applyFill="1" applyBorder="1" applyAlignment="1">
      <alignment horizontal="center" vertical="center"/>
    </xf>
    <xf numFmtId="164" fontId="2" fillId="18" borderId="31" xfId="0" applyNumberFormat="1" applyFont="1" applyFill="1" applyBorder="1" applyAlignment="1">
      <alignment horizontal="center" vertical="center"/>
    </xf>
    <xf numFmtId="3" fontId="2" fillId="18" borderId="29" xfId="0" applyNumberFormat="1" applyFont="1" applyFill="1" applyBorder="1" applyAlignment="1">
      <alignment horizontal="center" vertical="center"/>
    </xf>
    <xf numFmtId="3" fontId="2" fillId="18" borderId="20" xfId="0" applyNumberFormat="1" applyFont="1" applyFill="1" applyBorder="1" applyAlignment="1">
      <alignment horizontal="center" vertical="center"/>
    </xf>
    <xf numFmtId="3" fontId="2" fillId="9" borderId="20" xfId="0" applyNumberFormat="1" applyFont="1" applyFill="1" applyBorder="1" applyAlignment="1">
      <alignment horizontal="center" vertical="center"/>
    </xf>
    <xf numFmtId="3" fontId="2" fillId="18" borderId="31" xfId="0" applyNumberFormat="1" applyFont="1" applyFill="1" applyBorder="1" applyAlignment="1">
      <alignment horizontal="center" vertical="center"/>
    </xf>
    <xf numFmtId="3" fontId="2" fillId="14" borderId="64" xfId="0" applyNumberFormat="1" applyFont="1" applyFill="1" applyBorder="1" applyAlignment="1">
      <alignment horizontal="center" vertical="center"/>
    </xf>
    <xf numFmtId="44" fontId="2" fillId="5" borderId="15" xfId="0" applyNumberFormat="1" applyFont="1" applyFill="1" applyBorder="1" applyAlignment="1">
      <alignment horizontal="center" vertical="center"/>
    </xf>
    <xf numFmtId="0" fontId="2" fillId="18" borderId="37" xfId="0" applyFont="1" applyFill="1" applyBorder="1" applyAlignment="1">
      <alignment horizontal="center" vertical="center"/>
    </xf>
    <xf numFmtId="44" fontId="0" fillId="18" borderId="4" xfId="1" applyFont="1" applyFill="1" applyBorder="1" applyAlignment="1">
      <alignment horizontal="center" vertical="center"/>
    </xf>
    <xf numFmtId="3" fontId="0" fillId="18" borderId="4" xfId="1" applyNumberFormat="1" applyFont="1" applyFill="1" applyBorder="1" applyAlignment="1">
      <alignment horizontal="center" vertical="center"/>
    </xf>
    <xf numFmtId="44" fontId="2" fillId="14" borderId="28" xfId="0" applyNumberFormat="1" applyFont="1" applyFill="1" applyBorder="1" applyAlignment="1">
      <alignment horizontal="center" vertical="center"/>
    </xf>
    <xf numFmtId="3" fontId="2" fillId="14" borderId="28" xfId="0" applyNumberFormat="1" applyFont="1" applyFill="1" applyBorder="1" applyAlignment="1">
      <alignment horizontal="center" vertical="center"/>
    </xf>
    <xf numFmtId="164" fontId="2" fillId="14" borderId="11" xfId="0" applyNumberFormat="1" applyFont="1" applyFill="1" applyBorder="1" applyAlignment="1">
      <alignment horizontal="center" vertical="center"/>
    </xf>
    <xf numFmtId="44" fontId="2" fillId="14" borderId="15" xfId="1" applyFont="1" applyFill="1" applyBorder="1" applyAlignment="1">
      <alignment horizontal="center" vertical="center"/>
    </xf>
    <xf numFmtId="3" fontId="2" fillId="14" borderId="15" xfId="1" applyNumberFormat="1" applyFont="1" applyFill="1" applyBorder="1" applyAlignment="1">
      <alignment horizontal="center" vertical="center"/>
    </xf>
    <xf numFmtId="164" fontId="2" fillId="14" borderId="15" xfId="0" applyNumberFormat="1" applyFont="1" applyFill="1" applyBorder="1" applyAlignment="1">
      <alignment horizontal="center" vertical="center"/>
    </xf>
    <xf numFmtId="0" fontId="2" fillId="18" borderId="35" xfId="0" applyFont="1" applyFill="1" applyBorder="1" applyAlignment="1">
      <alignment horizontal="center" vertical="center"/>
    </xf>
    <xf numFmtId="0" fontId="0" fillId="18" borderId="36" xfId="0" applyFont="1" applyFill="1" applyBorder="1" applyAlignment="1">
      <alignment horizontal="center" vertical="center"/>
    </xf>
    <xf numFmtId="44" fontId="0" fillId="18" borderId="8" xfId="1" applyFont="1" applyFill="1" applyBorder="1" applyAlignment="1">
      <alignment horizontal="center" vertical="center"/>
    </xf>
    <xf numFmtId="0" fontId="2" fillId="9" borderId="35" xfId="0" applyFont="1" applyFill="1" applyBorder="1" applyAlignment="1">
      <alignment horizontal="center" vertical="center"/>
    </xf>
    <xf numFmtId="0" fontId="0" fillId="9" borderId="36" xfId="0" applyFont="1" applyFill="1" applyBorder="1" applyAlignment="1">
      <alignment horizontal="center" vertical="center"/>
    </xf>
    <xf numFmtId="44" fontId="0" fillId="9" borderId="8" xfId="1" applyFont="1" applyFill="1" applyBorder="1" applyAlignment="1">
      <alignment horizontal="center" vertical="center"/>
    </xf>
    <xf numFmtId="0" fontId="2" fillId="9" borderId="37" xfId="0" applyFont="1" applyFill="1" applyBorder="1" applyAlignment="1">
      <alignment horizontal="center" vertical="center"/>
    </xf>
    <xf numFmtId="3" fontId="0" fillId="18" borderId="1" xfId="0" applyNumberFormat="1" applyFill="1" applyBorder="1" applyAlignment="1">
      <alignment horizontal="center" vertical="center"/>
    </xf>
    <xf numFmtId="164" fontId="0" fillId="18" borderId="67" xfId="0" applyNumberFormat="1" applyFont="1" applyFill="1" applyBorder="1" applyAlignment="1">
      <alignment horizontal="center" vertical="center"/>
    </xf>
    <xf numFmtId="17" fontId="2" fillId="14" borderId="29" xfId="0" applyNumberFormat="1" applyFont="1" applyFill="1" applyBorder="1" applyAlignment="1">
      <alignment horizontal="center" vertical="center"/>
    </xf>
    <xf numFmtId="17" fontId="2" fillId="14" borderId="31" xfId="0" applyNumberFormat="1" applyFont="1" applyFill="1" applyBorder="1" applyAlignment="1">
      <alignment horizontal="center" vertical="center"/>
    </xf>
    <xf numFmtId="164" fontId="0" fillId="9" borderId="29" xfId="0" applyNumberFormat="1" applyFont="1" applyFill="1" applyBorder="1" applyAlignment="1">
      <alignment horizontal="center" vertical="center"/>
    </xf>
    <xf numFmtId="164" fontId="0" fillId="9" borderId="20" xfId="0" applyNumberFormat="1" applyFont="1" applyFill="1" applyBorder="1" applyAlignment="1">
      <alignment horizontal="center" vertical="center"/>
    </xf>
    <xf numFmtId="164" fontId="2" fillId="14" borderId="19" xfId="0" applyNumberFormat="1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4" fontId="15" fillId="0" borderId="0" xfId="5" applyNumberFormat="1" applyBorder="1" applyAlignment="1">
      <alignment horizontal="center" vertical="center"/>
    </xf>
    <xf numFmtId="0" fontId="15" fillId="0" borderId="0" xfId="5" applyNumberFormat="1" applyBorder="1" applyAlignment="1">
      <alignment horizontal="center" vertical="center"/>
    </xf>
    <xf numFmtId="2" fontId="15" fillId="0" borderId="0" xfId="4" applyNumberFormat="1" applyFont="1" applyBorder="1" applyAlignment="1">
      <alignment horizontal="center" vertical="center"/>
    </xf>
    <xf numFmtId="14" fontId="15" fillId="0" borderId="0" xfId="5" applyNumberFormat="1" applyFill="1" applyBorder="1" applyAlignment="1">
      <alignment horizontal="center" vertical="center"/>
    </xf>
    <xf numFmtId="0" fontId="15" fillId="0" borderId="0" xfId="5" applyNumberFormat="1" applyFill="1" applyBorder="1" applyAlignment="1">
      <alignment horizontal="center" vertical="center"/>
    </xf>
    <xf numFmtId="2" fontId="15" fillId="0" borderId="0" xfId="4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4" fontId="18" fillId="5" borderId="1" xfId="1" applyFont="1" applyFill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/>
    </xf>
    <xf numFmtId="44" fontId="17" fillId="0" borderId="1" xfId="1" applyFont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2" fontId="18" fillId="0" borderId="0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4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0" fontId="17" fillId="0" borderId="1" xfId="0" applyNumberFormat="1" applyFont="1" applyBorder="1" applyAlignment="1">
      <alignment horizontal="center" vertical="center" wrapText="1"/>
    </xf>
    <xf numFmtId="44" fontId="4" fillId="4" borderId="2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4" fontId="5" fillId="2" borderId="1" xfId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4" fontId="4" fillId="0" borderId="2" xfId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14" fontId="4" fillId="7" borderId="2" xfId="0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4" fontId="4" fillId="7" borderId="2" xfId="1" applyFont="1" applyFill="1" applyBorder="1" applyAlignment="1">
      <alignment horizontal="center" vertical="center"/>
    </xf>
    <xf numFmtId="14" fontId="4" fillId="6" borderId="2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44" fontId="4" fillId="6" borderId="2" xfId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4" fontId="4" fillId="0" borderId="3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4" fontId="4" fillId="0" borderId="0" xfId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10" fontId="4" fillId="0" borderId="1" xfId="3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Fill="1" applyBorder="1" applyAlignment="1"/>
    <xf numFmtId="164" fontId="4" fillId="0" borderId="0" xfId="0" applyNumberFormat="1" applyFont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/>
    <xf numFmtId="164" fontId="5" fillId="0" borderId="1" xfId="0" applyNumberFormat="1" applyFont="1" applyBorder="1" applyAlignment="1">
      <alignment horizontal="center" vertical="center"/>
    </xf>
    <xf numFmtId="44" fontId="0" fillId="0" borderId="0" xfId="0" applyNumberFormat="1"/>
    <xf numFmtId="0" fontId="2" fillId="0" borderId="0" xfId="0" applyFont="1"/>
    <xf numFmtId="0" fontId="0" fillId="5" borderId="0" xfId="0" applyFill="1"/>
    <xf numFmtId="0" fontId="0" fillId="0" borderId="1" xfId="0" applyBorder="1"/>
    <xf numFmtId="0" fontId="5" fillId="13" borderId="1" xfId="0" applyFont="1" applyFill="1" applyBorder="1" applyAlignment="1">
      <alignment horizontal="center" vertical="center"/>
    </xf>
    <xf numFmtId="0" fontId="0" fillId="0" borderId="0" xfId="0" applyFill="1"/>
    <xf numFmtId="0" fontId="5" fillId="20" borderId="1" xfId="0" applyFont="1" applyFill="1" applyBorder="1" applyAlignment="1">
      <alignment horizontal="center" vertical="center"/>
    </xf>
    <xf numFmtId="44" fontId="20" fillId="20" borderId="0" xfId="0" applyNumberFormat="1" applyFont="1" applyFill="1"/>
    <xf numFmtId="0" fontId="0" fillId="19" borderId="5" xfId="0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21" fillId="20" borderId="1" xfId="0" applyFont="1" applyFill="1" applyBorder="1" applyAlignment="1">
      <alignment horizontal="center" vertical="center"/>
    </xf>
    <xf numFmtId="0" fontId="22" fillId="20" borderId="0" xfId="0" applyFont="1" applyFill="1"/>
    <xf numFmtId="0" fontId="0" fillId="20" borderId="1" xfId="0" applyFill="1" applyBorder="1"/>
    <xf numFmtId="0" fontId="0" fillId="20" borderId="0" xfId="0" applyFill="1"/>
    <xf numFmtId="0" fontId="5" fillId="21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 wrapText="1"/>
    </xf>
    <xf numFmtId="0" fontId="20" fillId="20" borderId="0" xfId="0" applyFont="1" applyFill="1"/>
    <xf numFmtId="0" fontId="20" fillId="20" borderId="0" xfId="0" applyFont="1" applyFill="1" applyBorder="1"/>
    <xf numFmtId="44" fontId="0" fillId="20" borderId="0" xfId="0" applyNumberFormat="1" applyFill="1"/>
    <xf numFmtId="0" fontId="20" fillId="20" borderId="1" xfId="0" applyFont="1" applyFill="1" applyBorder="1"/>
    <xf numFmtId="14" fontId="0" fillId="5" borderId="1" xfId="0" applyNumberForma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 wrapText="1"/>
    </xf>
    <xf numFmtId="44" fontId="0" fillId="5" borderId="1" xfId="1" applyFont="1" applyFill="1" applyBorder="1" applyAlignment="1">
      <alignment horizontal="center" vertical="center" wrapText="1"/>
    </xf>
    <xf numFmtId="2" fontId="18" fillId="6" borderId="1" xfId="0" applyNumberFormat="1" applyFont="1" applyFill="1" applyBorder="1" applyAlignment="1">
      <alignment horizontal="center" vertical="center"/>
    </xf>
    <xf numFmtId="44" fontId="18" fillId="6" borderId="1" xfId="1" applyFont="1" applyFill="1" applyBorder="1" applyAlignment="1">
      <alignment horizontal="center" vertical="center"/>
    </xf>
    <xf numFmtId="4" fontId="0" fillId="0" borderId="0" xfId="0" applyNumberFormat="1"/>
    <xf numFmtId="2" fontId="0" fillId="5" borderId="0" xfId="3" applyNumberFormat="1" applyFont="1" applyFill="1"/>
    <xf numFmtId="44" fontId="2" fillId="14" borderId="48" xfId="0" applyNumberFormat="1" applyFont="1" applyFill="1" applyBorder="1" applyAlignment="1">
      <alignment horizontal="center" vertical="center"/>
    </xf>
    <xf numFmtId="0" fontId="2" fillId="14" borderId="48" xfId="0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17" fontId="2" fillId="14" borderId="22" xfId="0" applyNumberFormat="1" applyFont="1" applyFill="1" applyBorder="1" applyAlignment="1">
      <alignment horizontal="center" vertical="center"/>
    </xf>
    <xf numFmtId="17" fontId="2" fillId="14" borderId="26" xfId="0" applyNumberFormat="1" applyFont="1" applyFill="1" applyBorder="1" applyAlignment="1">
      <alignment horizontal="center" vertical="center"/>
    </xf>
    <xf numFmtId="17" fontId="2" fillId="14" borderId="21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2" fillId="17" borderId="22" xfId="0" applyFont="1" applyFill="1" applyBorder="1" applyAlignment="1">
      <alignment horizontal="center" vertical="center"/>
    </xf>
    <xf numFmtId="0" fontId="2" fillId="17" borderId="21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23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center" vertical="center"/>
    </xf>
    <xf numFmtId="0" fontId="2" fillId="14" borderId="59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55" xfId="0" applyFont="1" applyFill="1" applyBorder="1" applyAlignment="1">
      <alignment horizontal="center" vertical="center"/>
    </xf>
    <xf numFmtId="0" fontId="2" fillId="18" borderId="60" xfId="0" applyFont="1" applyFill="1" applyBorder="1" applyAlignment="1">
      <alignment horizontal="center" vertical="center"/>
    </xf>
    <xf numFmtId="0" fontId="2" fillId="18" borderId="6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8" borderId="36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2" fillId="9" borderId="3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18" borderId="62" xfId="0" applyFont="1" applyFill="1" applyBorder="1" applyAlignment="1">
      <alignment horizontal="center" vertical="center"/>
    </xf>
    <xf numFmtId="0" fontId="2" fillId="18" borderId="63" xfId="0" applyFont="1" applyFill="1" applyBorder="1" applyAlignment="1">
      <alignment horizontal="center" vertical="center"/>
    </xf>
    <xf numFmtId="0" fontId="2" fillId="14" borderId="18" xfId="0" applyFont="1" applyFill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0" fontId="2" fillId="14" borderId="22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2" fillId="14" borderId="60" xfId="0" applyFont="1" applyFill="1" applyBorder="1" applyAlignment="1">
      <alignment horizontal="center" vertical="center"/>
    </xf>
    <xf numFmtId="0" fontId="2" fillId="14" borderId="61" xfId="0" applyFont="1" applyFill="1" applyBorder="1" applyAlignment="1">
      <alignment horizontal="center" vertical="center"/>
    </xf>
    <xf numFmtId="0" fontId="2" fillId="14" borderId="62" xfId="0" applyFont="1" applyFill="1" applyBorder="1" applyAlignment="1">
      <alignment horizontal="center" vertical="center"/>
    </xf>
    <xf numFmtId="0" fontId="2" fillId="14" borderId="63" xfId="0" applyFont="1" applyFill="1" applyBorder="1" applyAlignment="1">
      <alignment horizontal="center" vertical="center"/>
    </xf>
    <xf numFmtId="17" fontId="2" fillId="14" borderId="10" xfId="0" applyNumberFormat="1" applyFont="1" applyFill="1" applyBorder="1" applyAlignment="1">
      <alignment horizontal="center" vertical="center"/>
    </xf>
    <xf numFmtId="17" fontId="2" fillId="14" borderId="28" xfId="0" applyNumberFormat="1" applyFont="1" applyFill="1" applyBorder="1" applyAlignment="1">
      <alignment horizontal="center" vertical="center"/>
    </xf>
    <xf numFmtId="17" fontId="2" fillId="14" borderId="11" xfId="0" applyNumberFormat="1" applyFont="1" applyFill="1" applyBorder="1" applyAlignment="1">
      <alignment horizontal="center" vertical="center"/>
    </xf>
    <xf numFmtId="0" fontId="2" fillId="18" borderId="65" xfId="0" applyFont="1" applyFill="1" applyBorder="1" applyAlignment="1">
      <alignment horizontal="center" vertical="center"/>
    </xf>
    <xf numFmtId="0" fontId="2" fillId="18" borderId="66" xfId="0" applyFont="1" applyFill="1" applyBorder="1" applyAlignment="1">
      <alignment horizontal="center" vertical="center"/>
    </xf>
    <xf numFmtId="0" fontId="2" fillId="18" borderId="30" xfId="0" applyFont="1" applyFill="1" applyBorder="1" applyAlignment="1">
      <alignment horizontal="center" vertical="center"/>
    </xf>
    <xf numFmtId="0" fontId="2" fillId="18" borderId="68" xfId="0" applyFont="1" applyFill="1" applyBorder="1" applyAlignment="1">
      <alignment horizontal="center" vertical="center"/>
    </xf>
    <xf numFmtId="0" fontId="2" fillId="14" borderId="69" xfId="0" applyFont="1" applyFill="1" applyBorder="1" applyAlignment="1">
      <alignment horizontal="center" vertical="center"/>
    </xf>
    <xf numFmtId="0" fontId="2" fillId="14" borderId="68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14" borderId="21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44" fontId="0" fillId="0" borderId="44" xfId="1" applyFont="1" applyFill="1" applyBorder="1" applyAlignment="1">
      <alignment horizontal="center" vertical="center"/>
    </xf>
    <xf numFmtId="44" fontId="0" fillId="0" borderId="51" xfId="1" applyFont="1" applyFill="1" applyBorder="1" applyAlignment="1">
      <alignment horizontal="center" vertical="center"/>
    </xf>
    <xf numFmtId="44" fontId="2" fillId="14" borderId="22" xfId="1" applyFont="1" applyFill="1" applyBorder="1" applyAlignment="1">
      <alignment horizontal="center" vertical="center"/>
    </xf>
    <xf numFmtId="44" fontId="2" fillId="14" borderId="26" xfId="1" applyFont="1" applyFill="1" applyBorder="1" applyAlignment="1">
      <alignment horizontal="center" vertical="center"/>
    </xf>
    <xf numFmtId="44" fontId="2" fillId="14" borderId="21" xfId="1" applyFont="1" applyFill="1" applyBorder="1" applyAlignment="1">
      <alignment horizontal="center" vertical="center"/>
    </xf>
    <xf numFmtId="164" fontId="2" fillId="14" borderId="27" xfId="0" applyNumberFormat="1" applyFont="1" applyFill="1" applyBorder="1" applyAlignment="1">
      <alignment horizontal="center" vertical="center"/>
    </xf>
    <xf numFmtId="164" fontId="2" fillId="14" borderId="25" xfId="0" applyNumberFormat="1" applyFont="1" applyFill="1" applyBorder="1" applyAlignment="1">
      <alignment horizontal="center" vertical="center"/>
    </xf>
    <xf numFmtId="17" fontId="2" fillId="14" borderId="16" xfId="0" applyNumberFormat="1" applyFont="1" applyFill="1" applyBorder="1" applyAlignment="1">
      <alignment horizontal="center" vertical="center"/>
    </xf>
    <xf numFmtId="17" fontId="2" fillId="14" borderId="23" xfId="0" applyNumberFormat="1" applyFont="1" applyFill="1" applyBorder="1" applyAlignment="1">
      <alignment horizontal="center" vertical="center"/>
    </xf>
    <xf numFmtId="17" fontId="2" fillId="14" borderId="17" xfId="0" applyNumberFormat="1" applyFont="1" applyFill="1" applyBorder="1" applyAlignment="1">
      <alignment horizontal="center" vertical="center"/>
    </xf>
    <xf numFmtId="44" fontId="0" fillId="0" borderId="9" xfId="1" applyFont="1" applyFill="1" applyBorder="1" applyAlignment="1">
      <alignment horizontal="center" vertical="center"/>
    </xf>
    <xf numFmtId="3" fontId="2" fillId="14" borderId="27" xfId="1" applyNumberFormat="1" applyFont="1" applyFill="1" applyBorder="1" applyAlignment="1">
      <alignment horizontal="center" vertical="center"/>
    </xf>
    <xf numFmtId="3" fontId="2" fillId="14" borderId="25" xfId="1" applyNumberFormat="1" applyFont="1" applyFill="1" applyBorder="1" applyAlignment="1">
      <alignment horizontal="center" vertical="center"/>
    </xf>
    <xf numFmtId="44" fontId="2" fillId="0" borderId="16" xfId="1" applyFont="1" applyFill="1" applyBorder="1" applyAlignment="1">
      <alignment horizontal="center" vertical="center"/>
    </xf>
    <xf numFmtId="44" fontId="2" fillId="0" borderId="23" xfId="1" applyFont="1" applyFill="1" applyBorder="1" applyAlignment="1">
      <alignment horizontal="center" vertical="center"/>
    </xf>
    <xf numFmtId="44" fontId="2" fillId="0" borderId="17" xfId="1" applyFont="1" applyFill="1" applyBorder="1" applyAlignment="1">
      <alignment horizontal="center" vertical="center"/>
    </xf>
    <xf numFmtId="44" fontId="2" fillId="0" borderId="18" xfId="1" applyFont="1" applyFill="1" applyBorder="1" applyAlignment="1">
      <alignment horizontal="center" vertical="center"/>
    </xf>
    <xf numFmtId="44" fontId="2" fillId="0" borderId="24" xfId="1" applyFont="1" applyFill="1" applyBorder="1" applyAlignment="1">
      <alignment horizontal="center" vertical="center"/>
    </xf>
    <xf numFmtId="44" fontId="2" fillId="0" borderId="19" xfId="1" applyFont="1" applyFill="1" applyBorder="1" applyAlignment="1">
      <alignment horizontal="center" vertical="center"/>
    </xf>
    <xf numFmtId="44" fontId="2" fillId="0" borderId="22" xfId="1" applyFont="1" applyFill="1" applyBorder="1" applyAlignment="1">
      <alignment horizontal="center" vertical="center"/>
    </xf>
    <xf numFmtId="44" fontId="2" fillId="0" borderId="26" xfId="1" applyFont="1" applyFill="1" applyBorder="1" applyAlignment="1">
      <alignment horizontal="center" vertical="center"/>
    </xf>
    <xf numFmtId="44" fontId="2" fillId="0" borderId="21" xfId="1" applyFont="1" applyFill="1" applyBorder="1" applyAlignment="1">
      <alignment horizontal="center" vertical="center"/>
    </xf>
    <xf numFmtId="9" fontId="2" fillId="0" borderId="22" xfId="3" applyFont="1" applyFill="1" applyBorder="1" applyAlignment="1">
      <alignment horizontal="center" vertical="center"/>
    </xf>
    <xf numFmtId="9" fontId="2" fillId="0" borderId="26" xfId="3" applyFont="1" applyFill="1" applyBorder="1" applyAlignment="1">
      <alignment horizontal="center" vertical="center"/>
    </xf>
    <xf numFmtId="9" fontId="2" fillId="0" borderId="21" xfId="3" applyFont="1" applyFill="1" applyBorder="1" applyAlignment="1">
      <alignment horizontal="center" vertical="center"/>
    </xf>
    <xf numFmtId="3" fontId="2" fillId="0" borderId="22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44" fontId="2" fillId="0" borderId="10" xfId="1" applyFont="1" applyFill="1" applyBorder="1" applyAlignment="1">
      <alignment horizontal="center" vertical="center"/>
    </xf>
    <xf numFmtId="44" fontId="2" fillId="0" borderId="28" xfId="1" applyFont="1" applyFill="1" applyBorder="1" applyAlignment="1">
      <alignment horizontal="center" vertical="center"/>
    </xf>
    <xf numFmtId="44" fontId="2" fillId="0" borderId="11" xfId="1" applyFont="1" applyFill="1" applyBorder="1" applyAlignment="1">
      <alignment horizontal="center" vertical="center"/>
    </xf>
    <xf numFmtId="0" fontId="2" fillId="14" borderId="19" xfId="0" applyFont="1" applyFill="1" applyBorder="1" applyAlignment="1">
      <alignment horizontal="center" vertical="center"/>
    </xf>
    <xf numFmtId="17" fontId="2" fillId="14" borderId="18" xfId="0" applyNumberFormat="1" applyFont="1" applyFill="1" applyBorder="1" applyAlignment="1">
      <alignment horizontal="center" vertical="center"/>
    </xf>
    <xf numFmtId="17" fontId="2" fillId="14" borderId="24" xfId="0" applyNumberFormat="1" applyFont="1" applyFill="1" applyBorder="1" applyAlignment="1">
      <alignment horizontal="center" vertical="center"/>
    </xf>
    <xf numFmtId="17" fontId="2" fillId="14" borderId="19" xfId="0" applyNumberFormat="1" applyFont="1" applyFill="1" applyBorder="1" applyAlignment="1">
      <alignment horizontal="center" vertical="center"/>
    </xf>
    <xf numFmtId="44" fontId="0" fillId="0" borderId="53" xfId="1" applyFont="1" applyFill="1" applyBorder="1" applyAlignment="1">
      <alignment horizontal="center" vertical="center"/>
    </xf>
    <xf numFmtId="44" fontId="0" fillId="0" borderId="54" xfId="1" applyFont="1" applyFill="1" applyBorder="1" applyAlignment="1">
      <alignment horizontal="center" vertical="center"/>
    </xf>
    <xf numFmtId="44" fontId="0" fillId="0" borderId="12" xfId="1" applyFont="1" applyFill="1" applyBorder="1" applyAlignment="1">
      <alignment horizontal="center" vertical="center"/>
    </xf>
    <xf numFmtId="44" fontId="0" fillId="0" borderId="52" xfId="1" applyFont="1" applyFill="1" applyBorder="1" applyAlignment="1">
      <alignment horizontal="center" vertical="center"/>
    </xf>
    <xf numFmtId="44" fontId="0" fillId="0" borderId="45" xfId="1" applyFont="1" applyFill="1" applyBorder="1" applyAlignment="1">
      <alignment horizontal="center" vertical="center"/>
    </xf>
    <xf numFmtId="44" fontId="0" fillId="0" borderId="49" xfId="1" applyFont="1" applyFill="1" applyBorder="1" applyAlignment="1">
      <alignment horizontal="center" vertical="center"/>
    </xf>
    <xf numFmtId="44" fontId="0" fillId="0" borderId="50" xfId="1" applyFont="1" applyFill="1" applyBorder="1" applyAlignment="1">
      <alignment horizontal="center" vertical="center"/>
    </xf>
    <xf numFmtId="44" fontId="0" fillId="0" borderId="46" xfId="1" applyFont="1" applyFill="1" applyBorder="1" applyAlignment="1">
      <alignment horizontal="center" vertical="center"/>
    </xf>
    <xf numFmtId="44" fontId="0" fillId="0" borderId="47" xfId="1" applyFont="1" applyFill="1" applyBorder="1" applyAlignment="1">
      <alignment horizontal="center" vertical="center"/>
    </xf>
    <xf numFmtId="44" fontId="0" fillId="0" borderId="13" xfId="1" applyFont="1" applyFill="1" applyBorder="1" applyAlignment="1">
      <alignment horizontal="center" vertical="center"/>
    </xf>
    <xf numFmtId="44" fontId="0" fillId="0" borderId="42" xfId="1" applyFont="1" applyFill="1" applyBorder="1" applyAlignment="1">
      <alignment horizontal="center" vertical="center"/>
    </xf>
    <xf numFmtId="44" fontId="0" fillId="0" borderId="43" xfId="1" applyFont="1" applyFill="1" applyBorder="1" applyAlignment="1">
      <alignment horizontal="center" vertical="center"/>
    </xf>
    <xf numFmtId="17" fontId="2" fillId="14" borderId="41" xfId="0" applyNumberFormat="1" applyFont="1" applyFill="1" applyBorder="1" applyAlignment="1">
      <alignment horizontal="center" vertical="center"/>
    </xf>
    <xf numFmtId="17" fontId="2" fillId="14" borderId="38" xfId="0" applyNumberFormat="1" applyFont="1" applyFill="1" applyBorder="1" applyAlignment="1">
      <alignment horizontal="center" vertical="center"/>
    </xf>
    <xf numFmtId="17" fontId="2" fillId="14" borderId="39" xfId="0" applyNumberFormat="1" applyFont="1" applyFill="1" applyBorder="1" applyAlignment="1">
      <alignment horizontal="center" vertical="center"/>
    </xf>
    <xf numFmtId="17" fontId="2" fillId="14" borderId="40" xfId="0" applyNumberFormat="1" applyFont="1" applyFill="1" applyBorder="1" applyAlignment="1">
      <alignment horizontal="center" vertical="center"/>
    </xf>
    <xf numFmtId="0" fontId="2" fillId="14" borderId="29" xfId="0" applyFont="1" applyFill="1" applyBorder="1" applyAlignment="1">
      <alignment horizontal="center" vertical="center"/>
    </xf>
    <xf numFmtId="0" fontId="2" fillId="14" borderId="31" xfId="0" applyFont="1" applyFill="1" applyBorder="1" applyAlignment="1">
      <alignment horizontal="center" vertical="center"/>
    </xf>
    <xf numFmtId="3" fontId="2" fillId="0" borderId="26" xfId="0" applyNumberFormat="1" applyFont="1" applyFill="1" applyBorder="1" applyAlignment="1">
      <alignment horizontal="center" vertical="center"/>
    </xf>
    <xf numFmtId="3" fontId="2" fillId="0" borderId="21" xfId="0" applyNumberFormat="1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28" xfId="0" applyFont="1" applyFill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0" fontId="2" fillId="12" borderId="24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2" borderId="56" xfId="0" applyFont="1" applyFill="1" applyBorder="1" applyAlignment="1">
      <alignment horizontal="center" vertical="center"/>
    </xf>
    <xf numFmtId="0" fontId="2" fillId="12" borderId="46" xfId="0" applyFont="1" applyFill="1" applyBorder="1" applyAlignment="1">
      <alignment horizontal="center" vertical="center"/>
    </xf>
    <xf numFmtId="0" fontId="2" fillId="12" borderId="29" xfId="0" applyFont="1" applyFill="1" applyBorder="1" applyAlignment="1">
      <alignment horizontal="center" vertical="center" wrapText="1"/>
    </xf>
    <xf numFmtId="0" fontId="2" fillId="12" borderId="58" xfId="0" applyFont="1" applyFill="1" applyBorder="1" applyAlignment="1">
      <alignment horizontal="center" vertical="center" wrapText="1"/>
    </xf>
    <xf numFmtId="0" fontId="2" fillId="12" borderId="10" xfId="0" applyFont="1" applyFill="1" applyBorder="1" applyAlignment="1">
      <alignment horizontal="center" vertical="center" wrapText="1"/>
    </xf>
    <xf numFmtId="0" fontId="2" fillId="12" borderId="28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7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44" fontId="2" fillId="0" borderId="4" xfId="1" applyFont="1" applyBorder="1" applyAlignment="1">
      <alignment horizontal="center" vertical="center"/>
    </xf>
    <xf numFmtId="44" fontId="2" fillId="0" borderId="2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0" borderId="4" xfId="0" applyNumberFormat="1" applyFont="1" applyBorder="1" applyAlignment="1">
      <alignment horizontal="center" vertical="center"/>
    </xf>
    <xf numFmtId="44" fontId="2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0" fillId="7" borderId="1" xfId="1" applyFont="1" applyFill="1" applyBorder="1" applyAlignment="1">
      <alignment horizontal="center" vertical="center"/>
    </xf>
    <xf numFmtId="167" fontId="0" fillId="7" borderId="1" xfId="0" applyNumberFormat="1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167" fontId="0" fillId="6" borderId="1" xfId="0" applyNumberForma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44" fontId="0" fillId="3" borderId="4" xfId="1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44" fontId="0" fillId="4" borderId="4" xfId="1" applyFont="1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44" fontId="0" fillId="7" borderId="4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44" fontId="0" fillId="6" borderId="4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44" fontId="0" fillId="3" borderId="5" xfId="1" applyFont="1" applyFill="1" applyBorder="1" applyAlignment="1">
      <alignment horizontal="center" vertical="center"/>
    </xf>
    <xf numFmtId="44" fontId="0" fillId="3" borderId="3" xfId="1" applyFont="1" applyFill="1" applyBorder="1" applyAlignment="1">
      <alignment horizontal="center" vertical="center"/>
    </xf>
    <xf numFmtId="44" fontId="0" fillId="6" borderId="5" xfId="1" applyFont="1" applyFill="1" applyBorder="1" applyAlignment="1">
      <alignment horizontal="center" vertical="center"/>
    </xf>
    <xf numFmtId="44" fontId="0" fillId="4" borderId="5" xfId="1" applyFont="1" applyFill="1" applyBorder="1" applyAlignment="1">
      <alignment horizontal="center" vertical="center"/>
    </xf>
    <xf numFmtId="44" fontId="0" fillId="7" borderId="5" xfId="1" applyFont="1" applyFill="1" applyBorder="1" applyAlignment="1">
      <alignment horizontal="center" vertical="center"/>
    </xf>
    <xf numFmtId="44" fontId="4" fillId="4" borderId="4" xfId="1" applyFon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44" fontId="0" fillId="6" borderId="3" xfId="1" applyFont="1" applyFill="1" applyBorder="1" applyAlignment="1">
      <alignment horizontal="center" vertical="center"/>
    </xf>
    <xf numFmtId="167" fontId="0" fillId="3" borderId="4" xfId="0" applyNumberFormat="1" applyFill="1" applyBorder="1" applyAlignment="1">
      <alignment horizontal="center" vertical="center"/>
    </xf>
    <xf numFmtId="167" fontId="0" fillId="3" borderId="2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167" fontId="0" fillId="4" borderId="3" xfId="0" applyNumberFormat="1" applyFill="1" applyBorder="1" applyAlignment="1">
      <alignment horizontal="center" vertical="center"/>
    </xf>
    <xf numFmtId="167" fontId="0" fillId="4" borderId="2" xfId="0" applyNumberFormat="1" applyFill="1" applyBorder="1" applyAlignment="1">
      <alignment horizontal="center" vertical="center"/>
    </xf>
    <xf numFmtId="167" fontId="0" fillId="7" borderId="4" xfId="0" applyNumberFormat="1" applyFill="1" applyBorder="1" applyAlignment="1">
      <alignment horizontal="center" vertical="center"/>
    </xf>
    <xf numFmtId="167" fontId="0" fillId="7" borderId="2" xfId="0" applyNumberFormat="1" applyFill="1" applyBorder="1" applyAlignment="1">
      <alignment horizontal="center" vertical="center"/>
    </xf>
    <xf numFmtId="167" fontId="0" fillId="6" borderId="4" xfId="0" applyNumberFormat="1" applyFill="1" applyBorder="1" applyAlignment="1">
      <alignment horizontal="center" vertical="center"/>
    </xf>
    <xf numFmtId="167" fontId="0" fillId="6" borderId="2" xfId="0" applyNumberFormat="1" applyFill="1" applyBorder="1" applyAlignment="1">
      <alignment horizontal="center" vertical="center"/>
    </xf>
    <xf numFmtId="44" fontId="4" fillId="3" borderId="1" xfId="1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0" fontId="0" fillId="7" borderId="4" xfId="0" applyNumberFormat="1" applyFill="1" applyBorder="1" applyAlignment="1">
      <alignment horizontal="center" vertical="center"/>
    </xf>
    <xf numFmtId="0" fontId="0" fillId="7" borderId="2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6" borderId="4" xfId="0" applyNumberFormat="1" applyFill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" fontId="2" fillId="0" borderId="5" xfId="0" applyNumberFormat="1" applyFont="1" applyFill="1" applyBorder="1" applyAlignment="1">
      <alignment horizontal="center" vertical="center"/>
    </xf>
    <xf numFmtId="4" fontId="2" fillId="0" borderId="12" xfId="0" applyNumberFormat="1" applyFont="1" applyFill="1" applyBorder="1" applyAlignment="1">
      <alignment horizontal="center" vertical="center"/>
    </xf>
    <xf numFmtId="4" fontId="2" fillId="0" borderId="13" xfId="0" applyNumberFormat="1" applyFont="1" applyFill="1" applyBorder="1" applyAlignment="1">
      <alignment horizontal="center" vertical="center"/>
    </xf>
    <xf numFmtId="10" fontId="2" fillId="0" borderId="14" xfId="3" applyNumberFormat="1" applyFont="1" applyFill="1" applyBorder="1" applyAlignment="1">
      <alignment horizontal="center" vertical="center"/>
    </xf>
    <xf numFmtId="44" fontId="17" fillId="3" borderId="1" xfId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44" fontId="4" fillId="3" borderId="4" xfId="1" applyFont="1" applyFill="1" applyBorder="1" applyAlignment="1">
      <alignment horizontal="center" vertical="center"/>
    </xf>
    <xf numFmtId="44" fontId="4" fillId="3" borderId="2" xfId="1" applyFont="1" applyFill="1" applyBorder="1" applyAlignment="1">
      <alignment horizontal="center" vertical="center"/>
    </xf>
    <xf numFmtId="44" fontId="17" fillId="6" borderId="1" xfId="1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44" fontId="4" fillId="6" borderId="4" xfId="1" applyFont="1" applyFill="1" applyBorder="1" applyAlignment="1">
      <alignment horizontal="center" vertical="center"/>
    </xf>
    <xf numFmtId="44" fontId="4" fillId="6" borderId="2" xfId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4" fontId="17" fillId="4" borderId="1" xfId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44" fontId="17" fillId="7" borderId="1" xfId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44" fontId="4" fillId="7" borderId="4" xfId="1" applyFont="1" applyFill="1" applyBorder="1" applyAlignment="1">
      <alignment horizontal="center" vertical="center"/>
    </xf>
    <xf numFmtId="44" fontId="4" fillId="7" borderId="2" xfId="1" applyFont="1" applyFill="1" applyBorder="1" applyAlignment="1">
      <alignment horizontal="center" vertical="center"/>
    </xf>
    <xf numFmtId="0" fontId="0" fillId="20" borderId="5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0" fontId="0" fillId="20" borderId="13" xfId="0" applyFill="1" applyBorder="1" applyAlignment="1">
      <alignment horizontal="center"/>
    </xf>
    <xf numFmtId="0" fontId="2" fillId="6" borderId="5" xfId="0" applyNumberFormat="1" applyFont="1" applyFill="1" applyBorder="1" applyAlignment="1">
      <alignment horizontal="center" vertical="center"/>
    </xf>
    <xf numFmtId="0" fontId="2" fillId="6" borderId="12" xfId="0" applyNumberFormat="1" applyFont="1" applyFill="1" applyBorder="1" applyAlignment="1">
      <alignment horizontal="center" vertical="center"/>
    </xf>
    <xf numFmtId="0" fontId="2" fillId="6" borderId="13" xfId="0" applyNumberFormat="1" applyFont="1" applyFill="1" applyBorder="1" applyAlignment="1">
      <alignment horizontal="center" vertical="center"/>
    </xf>
    <xf numFmtId="0" fontId="2" fillId="5" borderId="5" xfId="0" applyNumberFormat="1" applyFont="1" applyFill="1" applyBorder="1" applyAlignment="1">
      <alignment horizontal="center" vertical="center"/>
    </xf>
    <xf numFmtId="0" fontId="2" fillId="5" borderId="12" xfId="0" applyNumberFormat="1" applyFont="1" applyFill="1" applyBorder="1" applyAlignment="1">
      <alignment horizontal="center" vertical="center"/>
    </xf>
    <xf numFmtId="0" fontId="2" fillId="5" borderId="13" xfId="0" applyNumberFormat="1" applyFont="1" applyFill="1" applyBorder="1" applyAlignment="1">
      <alignment horizontal="center" vertical="center"/>
    </xf>
    <xf numFmtId="0" fontId="12" fillId="5" borderId="1" xfId="0" applyNumberFormat="1" applyFont="1" applyFill="1" applyBorder="1" applyAlignment="1">
      <alignment horizontal="center" vertical="center"/>
    </xf>
    <xf numFmtId="0" fontId="16" fillId="6" borderId="5" xfId="5" applyNumberFormat="1" applyFont="1" applyFill="1" applyBorder="1" applyAlignment="1">
      <alignment horizontal="center" vertical="center"/>
    </xf>
    <xf numFmtId="0" fontId="16" fillId="6" borderId="12" xfId="5" applyNumberFormat="1" applyFont="1" applyFill="1" applyBorder="1" applyAlignment="1">
      <alignment horizontal="center" vertical="center"/>
    </xf>
    <xf numFmtId="0" fontId="16" fillId="6" borderId="13" xfId="5" applyNumberFormat="1" applyFont="1" applyFill="1" applyBorder="1" applyAlignment="1">
      <alignment horizontal="center" vertical="center"/>
    </xf>
    <xf numFmtId="44" fontId="2" fillId="5" borderId="1" xfId="1" applyFont="1" applyFill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 wrapText="1"/>
    </xf>
    <xf numFmtId="14" fontId="0" fillId="4" borderId="12" xfId="0" applyNumberFormat="1" applyFill="1" applyBorder="1" applyAlignment="1">
      <alignment horizontal="center" vertical="center" wrapText="1"/>
    </xf>
    <xf numFmtId="14" fontId="0" fillId="4" borderId="13" xfId="0" applyNumberFormat="1" applyFill="1" applyBorder="1" applyAlignment="1">
      <alignment horizontal="center" vertical="center" wrapText="1"/>
    </xf>
    <xf numFmtId="14" fontId="0" fillId="6" borderId="5" xfId="0" applyNumberFormat="1" applyFill="1" applyBorder="1" applyAlignment="1">
      <alignment horizontal="center" vertical="center" wrapText="1"/>
    </xf>
    <xf numFmtId="14" fontId="0" fillId="6" borderId="12" xfId="0" applyNumberFormat="1" applyFill="1" applyBorder="1" applyAlignment="1">
      <alignment horizontal="center" vertical="center" wrapText="1"/>
    </xf>
    <xf numFmtId="14" fontId="0" fillId="6" borderId="13" xfId="0" applyNumberForma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center" vertical="center" wrapText="1"/>
    </xf>
    <xf numFmtId="14" fontId="0" fillId="5" borderId="12" xfId="0" applyNumberFormat="1" applyFill="1" applyBorder="1" applyAlignment="1">
      <alignment horizontal="center" vertical="center" wrapText="1"/>
    </xf>
    <xf numFmtId="14" fontId="0" fillId="5" borderId="13" xfId="0" applyNumberForma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14" fontId="0" fillId="10" borderId="5" xfId="0" applyNumberFormat="1" applyFill="1" applyBorder="1" applyAlignment="1">
      <alignment horizontal="center" vertical="center" wrapText="1"/>
    </xf>
    <xf numFmtId="14" fontId="0" fillId="10" borderId="12" xfId="0" applyNumberFormat="1" applyFill="1" applyBorder="1" applyAlignment="1">
      <alignment horizontal="center" vertical="center" wrapText="1"/>
    </xf>
    <xf numFmtId="14" fontId="0" fillId="10" borderId="13" xfId="0" applyNumberForma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  <xf numFmtId="44" fontId="0" fillId="5" borderId="1" xfId="1" applyFont="1" applyFill="1" applyBorder="1" applyAlignment="1">
      <alignment horizontal="center" vertical="center"/>
    </xf>
  </cellXfs>
  <cellStyles count="6">
    <cellStyle name="Millares" xfId="4" builtinId="3"/>
    <cellStyle name="Moneda" xfId="1" builtinId="4"/>
    <cellStyle name="Moneda 2" xfId="2" xr:uid="{00000000-0005-0000-0000-000002000000}"/>
    <cellStyle name="Normal" xfId="0" builtinId="0"/>
    <cellStyle name="Normal 2" xfId="5" xr:uid="{00000000-0005-0000-0000-000004000000}"/>
    <cellStyle name="Porcentaje" xfId="3" builtinId="5"/>
  </cellStyles>
  <dxfs count="7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66"/>
      <color rgb="FFFF99FF"/>
      <color rgb="FF66FF66"/>
      <color rgb="FFFF9966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externalLink" Target="externalLinks/externalLink5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externalLink" Target="externalLinks/externalLink3.xml"/><Relationship Id="rId7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externalLink" Target="externalLinks/externalLink1.xml"/><Relationship Id="rId69" Type="http://schemas.openxmlformats.org/officeDocument/2006/relationships/externalLink" Target="externalLinks/externalLink6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externalLink" Target="externalLinks/externalLink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externalLink" Target="externalLinks/externalLink7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externalLink" Target="externalLinks/externalLink2.xml"/><Relationship Id="rId73" Type="http://schemas.openxmlformats.org/officeDocument/2006/relationships/externalLink" Target="externalLinks/externalLink10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8-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6-2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7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9-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0\11-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0\12-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1-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2-20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3-202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4-202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5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SUELDOS"/>
      <sheetName val="$ x km CARGADORES"/>
      <sheetName val="GASTOS"/>
      <sheetName val="GASTOS TRACTOR"/>
      <sheetName val="GASTOS SEMI"/>
      <sheetName val="PN ant"/>
    </sheetNames>
    <sheetDataSet>
      <sheetData sheetId="0"/>
      <sheetData sheetId="1">
        <row r="9">
          <cell r="J9">
            <v>6767490.0024736086</v>
          </cell>
          <cell r="N9">
            <v>6246860.6456606388</v>
          </cell>
          <cell r="R9">
            <v>6406767.3532855548</v>
          </cell>
          <cell r="V9">
            <v>6005398.8866563207</v>
          </cell>
          <cell r="Z9">
            <v>5939491.8898324277</v>
          </cell>
          <cell r="AD9">
            <v>6081759.9980864776</v>
          </cell>
          <cell r="AH9">
            <v>6900581.7579204375</v>
          </cell>
          <cell r="AL9">
            <v>7739781.4351167958</v>
          </cell>
        </row>
        <row r="14">
          <cell r="J14">
            <v>504324.30800000002</v>
          </cell>
          <cell r="N14">
            <v>473896.00003</v>
          </cell>
          <cell r="R14">
            <v>531033</v>
          </cell>
          <cell r="V14">
            <v>474326</v>
          </cell>
          <cell r="Z14">
            <v>396428</v>
          </cell>
          <cell r="AD14">
            <v>441185</v>
          </cell>
          <cell r="AH14">
            <v>427681</v>
          </cell>
          <cell r="AL14">
            <v>495256</v>
          </cell>
        </row>
        <row r="41">
          <cell r="K41">
            <v>2432170.0528148436</v>
          </cell>
          <cell r="L41">
            <v>184342.30800000002</v>
          </cell>
          <cell r="O41">
            <v>2259318.7874708902</v>
          </cell>
          <cell r="P41">
            <v>174990</v>
          </cell>
          <cell r="S41">
            <v>3404638.8287905445</v>
          </cell>
          <cell r="T41">
            <v>217179</v>
          </cell>
          <cell r="W41">
            <v>2541869.3968046275</v>
          </cell>
          <cell r="X41">
            <v>184371</v>
          </cell>
          <cell r="AA41">
            <v>2360452.1082434068</v>
          </cell>
          <cell r="AB41">
            <v>156742</v>
          </cell>
          <cell r="AE41">
            <v>2477783.7993695159</v>
          </cell>
          <cell r="AF41">
            <v>180490</v>
          </cell>
          <cell r="AI41">
            <v>2933289.3210517806</v>
          </cell>
          <cell r="AJ41">
            <v>182650</v>
          </cell>
          <cell r="AM41">
            <v>4738740.6934102476</v>
          </cell>
          <cell r="AN41">
            <v>195820</v>
          </cell>
        </row>
      </sheetData>
      <sheetData sheetId="2"/>
      <sheetData sheetId="3"/>
      <sheetData sheetId="4">
        <row r="22">
          <cell r="L22">
            <v>11968</v>
          </cell>
        </row>
        <row r="25">
          <cell r="C25">
            <v>30.082469919786099</v>
          </cell>
        </row>
        <row r="39">
          <cell r="D39">
            <v>349486.4431149211</v>
          </cell>
        </row>
      </sheetData>
      <sheetData sheetId="5">
        <row r="23">
          <cell r="L23">
            <v>13524</v>
          </cell>
        </row>
        <row r="26">
          <cell r="C26">
            <v>34.087548062703341</v>
          </cell>
        </row>
        <row r="40">
          <cell r="D40">
            <v>428348.4895612229</v>
          </cell>
        </row>
      </sheetData>
      <sheetData sheetId="6">
        <row r="21">
          <cell r="L21">
            <v>11776</v>
          </cell>
        </row>
        <row r="24">
          <cell r="C24">
            <v>31.572690217391301</v>
          </cell>
        </row>
        <row r="38">
          <cell r="D38">
            <v>655324.33540737419</v>
          </cell>
        </row>
      </sheetData>
      <sheetData sheetId="7">
        <row r="12">
          <cell r="L12">
            <v>6030</v>
          </cell>
        </row>
        <row r="15">
          <cell r="C15">
            <v>31.01160862354892</v>
          </cell>
        </row>
        <row r="29">
          <cell r="D29">
            <v>-265035.84778955136</v>
          </cell>
        </row>
      </sheetData>
      <sheetData sheetId="8">
        <row r="26">
          <cell r="L26">
            <v>15744</v>
          </cell>
        </row>
        <row r="29">
          <cell r="C29">
            <v>31.421493902439025</v>
          </cell>
        </row>
        <row r="43">
          <cell r="D43">
            <v>628447.6440962567</v>
          </cell>
        </row>
      </sheetData>
      <sheetData sheetId="9">
        <row r="13">
          <cell r="L13">
            <v>5953</v>
          </cell>
        </row>
        <row r="16">
          <cell r="C16">
            <v>39.960188140433395</v>
          </cell>
        </row>
        <row r="30">
          <cell r="D30">
            <v>-55820.045875542084</v>
          </cell>
        </row>
      </sheetData>
      <sheetData sheetId="10">
        <row r="29">
          <cell r="L29">
            <v>13179</v>
          </cell>
        </row>
        <row r="32">
          <cell r="C32">
            <v>33.754306093026784</v>
          </cell>
        </row>
        <row r="46">
          <cell r="D46">
            <v>487569.17264134123</v>
          </cell>
        </row>
      </sheetData>
      <sheetData sheetId="11">
        <row r="26">
          <cell r="L26">
            <v>9233</v>
          </cell>
        </row>
        <row r="29">
          <cell r="C29">
            <v>34.136791941947365</v>
          </cell>
        </row>
        <row r="43">
          <cell r="D43">
            <v>295635.00575936632</v>
          </cell>
        </row>
      </sheetData>
      <sheetData sheetId="12">
        <row r="24">
          <cell r="L24">
            <v>10750</v>
          </cell>
        </row>
        <row r="27">
          <cell r="C27">
            <v>36.781767441860467</v>
          </cell>
        </row>
        <row r="41">
          <cell r="D41">
            <v>222787.12288335687</v>
          </cell>
        </row>
      </sheetData>
      <sheetData sheetId="13">
        <row r="12">
          <cell r="L12">
            <v>6686</v>
          </cell>
        </row>
        <row r="15">
          <cell r="C15">
            <v>45.03529763685313</v>
          </cell>
        </row>
        <row r="29">
          <cell r="D29">
            <v>250735.29297518186</v>
          </cell>
        </row>
      </sheetData>
      <sheetData sheetId="14">
        <row r="26">
          <cell r="L26">
            <v>11565</v>
          </cell>
        </row>
        <row r="29">
          <cell r="C29">
            <v>34.293125810635537</v>
          </cell>
        </row>
        <row r="43">
          <cell r="D43">
            <v>477966.06955513742</v>
          </cell>
        </row>
      </sheetData>
      <sheetData sheetId="15">
        <row r="23">
          <cell r="L23">
            <v>10948</v>
          </cell>
        </row>
        <row r="26">
          <cell r="C26">
            <v>27.164778955060285</v>
          </cell>
        </row>
        <row r="40">
          <cell r="D40">
            <v>363319.67935564206</v>
          </cell>
        </row>
      </sheetData>
      <sheetData sheetId="16">
        <row r="12">
          <cell r="L12">
            <v>3228</v>
          </cell>
        </row>
        <row r="15">
          <cell r="C15">
            <v>21.654275092936803</v>
          </cell>
        </row>
        <row r="29">
          <cell r="D29">
            <v>21776.002192111016</v>
          </cell>
        </row>
      </sheetData>
      <sheetData sheetId="17">
        <row r="11">
          <cell r="L11">
            <v>4394</v>
          </cell>
        </row>
        <row r="14">
          <cell r="C14">
            <v>33.227127901684113</v>
          </cell>
        </row>
        <row r="28">
          <cell r="D28">
            <v>13671.239553670137</v>
          </cell>
        </row>
      </sheetData>
      <sheetData sheetId="18">
        <row r="26">
          <cell r="L26">
            <v>6190</v>
          </cell>
        </row>
        <row r="29">
          <cell r="C29">
            <v>40.823909531502423</v>
          </cell>
        </row>
        <row r="43">
          <cell r="D43">
            <v>134974.60332035372</v>
          </cell>
        </row>
      </sheetData>
      <sheetData sheetId="19">
        <row r="31">
          <cell r="L31">
            <v>12380</v>
          </cell>
        </row>
        <row r="34">
          <cell r="C34">
            <v>33.213085621970926</v>
          </cell>
        </row>
        <row r="48">
          <cell r="D48">
            <v>269117.1533778304</v>
          </cell>
        </row>
      </sheetData>
      <sheetData sheetId="20">
        <row r="24">
          <cell r="L24">
            <v>13135</v>
          </cell>
        </row>
        <row r="27">
          <cell r="C27">
            <v>42.16634944803959</v>
          </cell>
        </row>
        <row r="41">
          <cell r="D41">
            <v>226998.82387570702</v>
          </cell>
        </row>
      </sheetData>
      <sheetData sheetId="21">
        <row r="30">
          <cell r="L30">
            <v>7530</v>
          </cell>
        </row>
        <row r="33">
          <cell r="C33">
            <v>34.528552456839314</v>
          </cell>
        </row>
        <row r="47">
          <cell r="D47">
            <v>200628.91136283928</v>
          </cell>
        </row>
      </sheetData>
      <sheetData sheetId="22">
        <row r="25">
          <cell r="L25">
            <v>11028</v>
          </cell>
        </row>
        <row r="28">
          <cell r="C28">
            <v>44.142636924192963</v>
          </cell>
        </row>
        <row r="42">
          <cell r="D42">
            <v>194877.24756908667</v>
          </cell>
        </row>
      </sheetData>
      <sheetData sheetId="23">
        <row r="19">
          <cell r="L19">
            <v>10579</v>
          </cell>
        </row>
        <row r="22">
          <cell r="C22">
            <v>36.36137631156064</v>
          </cell>
        </row>
        <row r="36">
          <cell r="D36">
            <v>162255.64846949046</v>
          </cell>
        </row>
      </sheetData>
      <sheetData sheetId="24">
        <row r="17">
          <cell r="L17">
            <v>5036</v>
          </cell>
        </row>
        <row r="31">
          <cell r="D31">
            <v>102187.3180777322</v>
          </cell>
        </row>
      </sheetData>
      <sheetData sheetId="25">
        <row r="29">
          <cell r="L29">
            <v>12923</v>
          </cell>
        </row>
        <row r="43">
          <cell r="D43">
            <v>176017.79457538435</v>
          </cell>
        </row>
      </sheetData>
      <sheetData sheetId="26">
        <row r="22">
          <cell r="L22">
            <v>10991</v>
          </cell>
        </row>
        <row r="36">
          <cell r="D36">
            <v>222876.25139338439</v>
          </cell>
        </row>
      </sheetData>
      <sheetData sheetId="27">
        <row r="24">
          <cell r="L24">
            <v>11412</v>
          </cell>
        </row>
        <row r="38">
          <cell r="D38">
            <v>154150.57681860178</v>
          </cell>
        </row>
      </sheetData>
      <sheetData sheetId="28">
        <row r="28">
          <cell r="L28">
            <v>12948</v>
          </cell>
        </row>
        <row r="42">
          <cell r="D42">
            <v>259222.58753973222</v>
          </cell>
        </row>
      </sheetData>
      <sheetData sheetId="29">
        <row r="22">
          <cell r="L22">
            <v>10320</v>
          </cell>
        </row>
        <row r="36">
          <cell r="D36">
            <v>224125.45348868874</v>
          </cell>
        </row>
      </sheetData>
      <sheetData sheetId="30">
        <row r="22">
          <cell r="L22">
            <v>9943</v>
          </cell>
        </row>
        <row r="36">
          <cell r="D36">
            <v>229188.31351712346</v>
          </cell>
        </row>
      </sheetData>
      <sheetData sheetId="31">
        <row r="25">
          <cell r="L25">
            <v>11706</v>
          </cell>
        </row>
        <row r="39">
          <cell r="D39">
            <v>249681.07514773222</v>
          </cell>
        </row>
      </sheetData>
      <sheetData sheetId="32">
        <row r="20">
          <cell r="L20">
            <v>11761</v>
          </cell>
        </row>
        <row r="34">
          <cell r="D34">
            <v>225087.60161529743</v>
          </cell>
        </row>
      </sheetData>
      <sheetData sheetId="33">
        <row r="24">
          <cell r="L24">
            <v>11236</v>
          </cell>
        </row>
        <row r="38">
          <cell r="D38">
            <v>241595.04064599308</v>
          </cell>
        </row>
      </sheetData>
      <sheetData sheetId="34">
        <row r="24">
          <cell r="L24">
            <v>12310</v>
          </cell>
        </row>
        <row r="38">
          <cell r="D38">
            <v>83564.992714775668</v>
          </cell>
        </row>
      </sheetData>
      <sheetData sheetId="35">
        <row r="12">
          <cell r="L12">
            <v>6198</v>
          </cell>
        </row>
        <row r="26">
          <cell r="D26">
            <v>90286.311062485809</v>
          </cell>
        </row>
      </sheetData>
      <sheetData sheetId="36">
        <row r="23">
          <cell r="L23">
            <v>12611</v>
          </cell>
        </row>
        <row r="37">
          <cell r="D37">
            <v>281118.52687179018</v>
          </cell>
        </row>
      </sheetData>
      <sheetData sheetId="37">
        <row r="21">
          <cell r="L21">
            <v>11980</v>
          </cell>
        </row>
        <row r="35">
          <cell r="D35">
            <v>275626.78264405113</v>
          </cell>
        </row>
      </sheetData>
      <sheetData sheetId="38">
        <row r="18">
          <cell r="L18">
            <v>10470</v>
          </cell>
        </row>
        <row r="32">
          <cell r="D32">
            <v>226343.08198477572</v>
          </cell>
        </row>
      </sheetData>
      <sheetData sheetId="39">
        <row r="18">
          <cell r="L18">
            <v>10098</v>
          </cell>
        </row>
        <row r="32">
          <cell r="D32">
            <v>177114.42344408005</v>
          </cell>
        </row>
      </sheetData>
      <sheetData sheetId="40">
        <row r="20">
          <cell r="L20">
            <v>9932</v>
          </cell>
        </row>
        <row r="34">
          <cell r="D34">
            <v>212178.28742387719</v>
          </cell>
        </row>
      </sheetData>
      <sheetData sheetId="41">
        <row r="22">
          <cell r="L22">
            <v>10478</v>
          </cell>
        </row>
        <row r="36">
          <cell r="D36">
            <v>227590.17094016701</v>
          </cell>
        </row>
      </sheetData>
      <sheetData sheetId="42">
        <row r="22">
          <cell r="L22">
            <v>11735</v>
          </cell>
        </row>
        <row r="36">
          <cell r="D36">
            <v>255985.00987477566</v>
          </cell>
        </row>
      </sheetData>
      <sheetData sheetId="43">
        <row r="21">
          <cell r="L21">
            <v>10997</v>
          </cell>
        </row>
        <row r="35">
          <cell r="D35">
            <v>261996.44906242794</v>
          </cell>
        </row>
      </sheetData>
      <sheetData sheetId="44">
        <row r="22">
          <cell r="L22">
            <v>10424</v>
          </cell>
        </row>
        <row r="36">
          <cell r="D36">
            <v>171906.18162877567</v>
          </cell>
        </row>
      </sheetData>
      <sheetData sheetId="45">
        <row r="21">
          <cell r="L21">
            <v>11158</v>
          </cell>
        </row>
        <row r="35">
          <cell r="D35">
            <v>216274.23118176122</v>
          </cell>
        </row>
      </sheetData>
      <sheetData sheetId="46">
        <row r="25">
          <cell r="L25">
            <v>11085</v>
          </cell>
        </row>
        <row r="39">
          <cell r="D39">
            <v>230212.8308517322</v>
          </cell>
        </row>
      </sheetData>
      <sheetData sheetId="47">
        <row r="24">
          <cell r="L24">
            <v>10733</v>
          </cell>
        </row>
        <row r="27">
          <cell r="A27">
            <v>98837.098991999985</v>
          </cell>
        </row>
      </sheetData>
      <sheetData sheetId="48">
        <row r="27">
          <cell r="L27">
            <v>9325</v>
          </cell>
        </row>
        <row r="30">
          <cell r="A30">
            <v>96261.538339000006</v>
          </cell>
        </row>
      </sheetData>
      <sheetData sheetId="49">
        <row r="17">
          <cell r="L17">
            <v>9146</v>
          </cell>
        </row>
        <row r="20">
          <cell r="A20">
            <v>85837.524999999994</v>
          </cell>
        </row>
      </sheetData>
      <sheetData sheetId="50">
        <row r="22">
          <cell r="L22">
            <v>10962</v>
          </cell>
        </row>
        <row r="25">
          <cell r="A25">
            <v>80569.366145999986</v>
          </cell>
        </row>
      </sheetData>
      <sheetData sheetId="51">
        <row r="22">
          <cell r="L22">
            <v>11518</v>
          </cell>
        </row>
        <row r="25">
          <cell r="A25">
            <v>82787.732188000009</v>
          </cell>
        </row>
      </sheetData>
      <sheetData sheetId="52">
        <row r="9">
          <cell r="B9">
            <v>-3687.9184194272239</v>
          </cell>
          <cell r="E9">
            <v>-3264.6917527605574</v>
          </cell>
          <cell r="H9">
            <v>-197.07508609389035</v>
          </cell>
          <cell r="K9">
            <v>-42034.964999999997</v>
          </cell>
          <cell r="N9">
            <v>-1252.2356644407339</v>
          </cell>
        </row>
        <row r="17">
          <cell r="B17">
            <v>-1475.5650860938904</v>
          </cell>
          <cell r="E17">
            <v>-197.07508609389035</v>
          </cell>
          <cell r="H17">
            <v>-176.24175276055701</v>
          </cell>
          <cell r="K17">
            <v>-197.07508609389035</v>
          </cell>
          <cell r="N17">
            <v>-197.07508609389035</v>
          </cell>
        </row>
        <row r="25">
          <cell r="B25">
            <v>-12787.105086093889</v>
          </cell>
          <cell r="E25">
            <v>-823.68508609389039</v>
          </cell>
          <cell r="H25">
            <v>-90819.575086093886</v>
          </cell>
          <cell r="K25">
            <v>-981170.60508609377</v>
          </cell>
          <cell r="N25">
            <v>-962053.82508609386</v>
          </cell>
        </row>
        <row r="33">
          <cell r="B33">
            <v>-323070.06233110739</v>
          </cell>
          <cell r="E33">
            <v>-2133.1750860938905</v>
          </cell>
          <cell r="H33">
            <v>-2133.1750860938905</v>
          </cell>
          <cell r="K33">
            <v>-1789.9317527605572</v>
          </cell>
          <cell r="N33">
            <v>-132443.05175276057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AA433UY_LAZZARONE"/>
      <sheetName val="EFB665_LAZZARONE"/>
      <sheetName val="KBG187_LAZZARONE"/>
      <sheetName val="UNIDADES SIN USO"/>
      <sheetName val="SEGURO"/>
      <sheetName val="PATENTE MUNICIPAL"/>
      <sheetName val="PATENTE PROVINCIAL"/>
      <sheetName val="COMBUSTIBLE"/>
      <sheetName val="GASTOS"/>
      <sheetName val="GASTOS TRACTOR"/>
      <sheetName val="GASTOS SEMI"/>
      <sheetName val="SUELDOS"/>
      <sheetName val="$ x KM Cargadores"/>
    </sheetNames>
    <sheetDataSet>
      <sheetData sheetId="0"/>
      <sheetData sheetId="1"/>
      <sheetData sheetId="2"/>
      <sheetData sheetId="3"/>
      <sheetData sheetId="4">
        <row r="19">
          <cell r="L19">
            <v>10596</v>
          </cell>
        </row>
        <row r="22">
          <cell r="C22">
            <v>28.208946772366932</v>
          </cell>
        </row>
        <row r="36">
          <cell r="D36">
            <v>209496.42143569168</v>
          </cell>
        </row>
      </sheetData>
      <sheetData sheetId="5">
        <row r="19">
          <cell r="L19">
            <v>10186</v>
          </cell>
        </row>
        <row r="22">
          <cell r="C22">
            <v>29.540545847241312</v>
          </cell>
        </row>
        <row r="36">
          <cell r="D36">
            <v>269852.33420921926</v>
          </cell>
        </row>
      </sheetData>
      <sheetData sheetId="6">
        <row r="23">
          <cell r="D23">
            <v>-403962.88086583541</v>
          </cell>
        </row>
      </sheetData>
      <sheetData sheetId="7">
        <row r="20">
          <cell r="L20">
            <v>11248</v>
          </cell>
        </row>
        <row r="23">
          <cell r="C23">
            <v>32.829125177809388</v>
          </cell>
        </row>
        <row r="37">
          <cell r="D37">
            <v>273531.5195178258</v>
          </cell>
        </row>
      </sheetData>
      <sheetData sheetId="8">
        <row r="17">
          <cell r="L17">
            <v>9620</v>
          </cell>
        </row>
        <row r="20">
          <cell r="C20">
            <v>33.814968814968815</v>
          </cell>
        </row>
        <row r="34">
          <cell r="D34">
            <v>221204.08739480848</v>
          </cell>
        </row>
      </sheetData>
      <sheetData sheetId="9">
        <row r="23">
          <cell r="L23">
            <v>10722</v>
          </cell>
        </row>
        <row r="26">
          <cell r="C26">
            <v>40.546539824659575</v>
          </cell>
        </row>
        <row r="40">
          <cell r="D40">
            <v>162257.27010862602</v>
          </cell>
        </row>
      </sheetData>
      <sheetData sheetId="10">
        <row r="23">
          <cell r="L23">
            <v>10805</v>
          </cell>
        </row>
        <row r="26">
          <cell r="C26">
            <v>40.969643683479873</v>
          </cell>
        </row>
        <row r="40">
          <cell r="D40">
            <v>257728.3972573166</v>
          </cell>
        </row>
      </sheetData>
      <sheetData sheetId="11">
        <row r="26">
          <cell r="L26">
            <v>8633</v>
          </cell>
        </row>
        <row r="29">
          <cell r="C29">
            <v>35.533649947874437</v>
          </cell>
        </row>
        <row r="43">
          <cell r="D43">
            <v>214393.071876136</v>
          </cell>
        </row>
      </sheetData>
      <sheetData sheetId="12">
        <row r="11">
          <cell r="L11">
            <v>4040</v>
          </cell>
        </row>
        <row r="14">
          <cell r="C14">
            <v>31.113861386138613</v>
          </cell>
        </row>
        <row r="28">
          <cell r="D28">
            <v>7593.0471830762981</v>
          </cell>
        </row>
      </sheetData>
      <sheetData sheetId="13">
        <row r="28">
          <cell r="L28">
            <v>11727</v>
          </cell>
        </row>
        <row r="31">
          <cell r="C31">
            <v>28.566555811375459</v>
          </cell>
        </row>
        <row r="45">
          <cell r="D45">
            <v>243311.77677751126</v>
          </cell>
        </row>
      </sheetData>
      <sheetData sheetId="14">
        <row r="20">
          <cell r="L20">
            <v>8751</v>
          </cell>
        </row>
        <row r="23">
          <cell r="C23">
            <v>32.55810764484059</v>
          </cell>
        </row>
        <row r="37">
          <cell r="D37">
            <v>22951.413023364497</v>
          </cell>
        </row>
      </sheetData>
      <sheetData sheetId="15">
        <row r="18">
          <cell r="L18">
            <v>9130</v>
          </cell>
        </row>
        <row r="21">
          <cell r="C21">
            <v>31.200109529025188</v>
          </cell>
        </row>
        <row r="35">
          <cell r="D35">
            <v>257704.99577014663</v>
          </cell>
        </row>
      </sheetData>
      <sheetData sheetId="16">
        <row r="26">
          <cell r="L26">
            <v>7898</v>
          </cell>
        </row>
        <row r="29">
          <cell r="C29">
            <v>37.349075715370979</v>
          </cell>
        </row>
        <row r="43">
          <cell r="D43">
            <v>103397.17363601163</v>
          </cell>
        </row>
      </sheetData>
      <sheetData sheetId="17">
        <row r="17">
          <cell r="L17">
            <v>9828</v>
          </cell>
        </row>
        <row r="20">
          <cell r="C20">
            <v>36.253561253561259</v>
          </cell>
        </row>
        <row r="34">
          <cell r="D34">
            <v>140396.58211385115</v>
          </cell>
        </row>
      </sheetData>
      <sheetData sheetId="18">
        <row r="21">
          <cell r="L21">
            <v>8488</v>
          </cell>
        </row>
        <row r="24">
          <cell r="C24">
            <v>32.32245523091423</v>
          </cell>
        </row>
        <row r="38">
          <cell r="D38">
            <v>174682.0570686073</v>
          </cell>
        </row>
      </sheetData>
      <sheetData sheetId="19">
        <row r="16">
          <cell r="L16">
            <v>10208</v>
          </cell>
        </row>
        <row r="19">
          <cell r="C19">
            <v>32.132347178683382</v>
          </cell>
        </row>
        <row r="33">
          <cell r="D33">
            <v>296522.64583775442</v>
          </cell>
        </row>
      </sheetData>
      <sheetData sheetId="20">
        <row r="19">
          <cell r="L19">
            <v>8145</v>
          </cell>
        </row>
        <row r="22">
          <cell r="C22">
            <v>34.709392265193365</v>
          </cell>
        </row>
        <row r="36">
          <cell r="D36">
            <v>182715.6017977068</v>
          </cell>
        </row>
      </sheetData>
      <sheetData sheetId="21">
        <row r="21">
          <cell r="L21">
            <v>8819</v>
          </cell>
        </row>
        <row r="24">
          <cell r="C24">
            <v>42.938768567864834</v>
          </cell>
        </row>
        <row r="38">
          <cell r="D38">
            <v>-10668.809967965703</v>
          </cell>
        </row>
      </sheetData>
      <sheetData sheetId="22">
        <row r="20">
          <cell r="L20">
            <v>7239</v>
          </cell>
        </row>
        <row r="23">
          <cell r="C23">
            <v>39.441497444398401</v>
          </cell>
        </row>
        <row r="37">
          <cell r="D37">
            <v>15039.380237312813</v>
          </cell>
        </row>
      </sheetData>
      <sheetData sheetId="23">
        <row r="19">
          <cell r="L19">
            <v>5586</v>
          </cell>
        </row>
        <row r="22">
          <cell r="C22">
            <v>42.715538847117799</v>
          </cell>
        </row>
        <row r="36">
          <cell r="D36">
            <v>-177858.26793516148</v>
          </cell>
        </row>
      </sheetData>
      <sheetData sheetId="24">
        <row r="23">
          <cell r="L23">
            <v>8821</v>
          </cell>
        </row>
        <row r="26">
          <cell r="C26">
            <v>41.845255639950118</v>
          </cell>
        </row>
        <row r="40">
          <cell r="D40">
            <v>19936.258557952533</v>
          </cell>
        </row>
      </sheetData>
      <sheetData sheetId="25">
        <row r="22">
          <cell r="L22">
            <v>10344</v>
          </cell>
        </row>
        <row r="36">
          <cell r="D36">
            <v>107467.10988381911</v>
          </cell>
        </row>
      </sheetData>
      <sheetData sheetId="26">
        <row r="25">
          <cell r="L25">
            <v>10270</v>
          </cell>
        </row>
        <row r="39">
          <cell r="D39">
            <v>190035.66164608003</v>
          </cell>
        </row>
      </sheetData>
      <sheetData sheetId="27">
        <row r="20">
          <cell r="L20">
            <v>8766</v>
          </cell>
        </row>
        <row r="34">
          <cell r="D34">
            <v>128600.73882694959</v>
          </cell>
        </row>
      </sheetData>
      <sheetData sheetId="28">
        <row r="19">
          <cell r="L19">
            <v>7892</v>
          </cell>
        </row>
        <row r="33">
          <cell r="D33">
            <v>131133.99933894959</v>
          </cell>
        </row>
      </sheetData>
      <sheetData sheetId="29">
        <row r="21">
          <cell r="L21">
            <v>10181</v>
          </cell>
        </row>
        <row r="35">
          <cell r="D35">
            <v>172930.0109331235</v>
          </cell>
        </row>
      </sheetData>
      <sheetData sheetId="30">
        <row r="21">
          <cell r="L21">
            <v>7980</v>
          </cell>
        </row>
        <row r="35">
          <cell r="D35">
            <v>135957.76013955826</v>
          </cell>
        </row>
      </sheetData>
      <sheetData sheetId="31">
        <row r="21">
          <cell r="L21">
            <v>9158</v>
          </cell>
        </row>
        <row r="35">
          <cell r="D35">
            <v>177266.8829032974</v>
          </cell>
        </row>
      </sheetData>
      <sheetData sheetId="32">
        <row r="21">
          <cell r="L21">
            <v>10019</v>
          </cell>
        </row>
        <row r="35">
          <cell r="D35">
            <v>209819.07064077567</v>
          </cell>
        </row>
      </sheetData>
      <sheetData sheetId="33">
        <row r="18">
          <cell r="L18">
            <v>3760</v>
          </cell>
        </row>
        <row r="32">
          <cell r="D32">
            <v>68537.543795065518</v>
          </cell>
        </row>
      </sheetData>
      <sheetData sheetId="34">
        <row r="18">
          <cell r="L18">
            <v>6050</v>
          </cell>
        </row>
        <row r="32">
          <cell r="D32">
            <v>102238.66199425397</v>
          </cell>
        </row>
      </sheetData>
      <sheetData sheetId="35">
        <row r="15">
          <cell r="L15">
            <v>8038</v>
          </cell>
        </row>
        <row r="29">
          <cell r="D29">
            <v>141160.4282437322</v>
          </cell>
        </row>
      </sheetData>
      <sheetData sheetId="36">
        <row r="19">
          <cell r="L19">
            <v>8998</v>
          </cell>
        </row>
        <row r="33">
          <cell r="D33">
            <v>189333.92280764523</v>
          </cell>
        </row>
      </sheetData>
      <sheetData sheetId="37">
        <row r="19">
          <cell r="L19">
            <v>10578</v>
          </cell>
        </row>
        <row r="33">
          <cell r="D33">
            <v>190728.12577387711</v>
          </cell>
        </row>
      </sheetData>
      <sheetData sheetId="38">
        <row r="19">
          <cell r="L19">
            <v>11100</v>
          </cell>
        </row>
        <row r="33">
          <cell r="D33">
            <v>199857.51560144234</v>
          </cell>
        </row>
      </sheetData>
      <sheetData sheetId="39">
        <row r="19">
          <cell r="L19">
            <v>9618</v>
          </cell>
        </row>
        <row r="33">
          <cell r="D33">
            <v>194726.61455996407</v>
          </cell>
        </row>
      </sheetData>
      <sheetData sheetId="40">
        <row r="18">
          <cell r="L18">
            <v>8124</v>
          </cell>
        </row>
        <row r="32">
          <cell r="D32">
            <v>162984.90073164523</v>
          </cell>
        </row>
      </sheetData>
      <sheetData sheetId="41">
        <row r="20">
          <cell r="L20">
            <v>9223</v>
          </cell>
        </row>
        <row r="34">
          <cell r="D34">
            <v>135585.21041590613</v>
          </cell>
        </row>
      </sheetData>
      <sheetData sheetId="42">
        <row r="20">
          <cell r="L20">
            <v>8783</v>
          </cell>
        </row>
        <row r="34">
          <cell r="D34">
            <v>197279.35048952929</v>
          </cell>
        </row>
      </sheetData>
      <sheetData sheetId="43">
        <row r="19">
          <cell r="L19">
            <v>10416</v>
          </cell>
        </row>
        <row r="33">
          <cell r="D33">
            <v>189220.92467486265</v>
          </cell>
        </row>
      </sheetData>
      <sheetData sheetId="44">
        <row r="10">
          <cell r="L10">
            <v>4718</v>
          </cell>
        </row>
        <row r="24">
          <cell r="D24">
            <v>92618.48999894959</v>
          </cell>
        </row>
      </sheetData>
      <sheetData sheetId="45">
        <row r="21">
          <cell r="L21">
            <v>10824</v>
          </cell>
        </row>
        <row r="35">
          <cell r="D35">
            <v>198857.9745907757</v>
          </cell>
        </row>
      </sheetData>
      <sheetData sheetId="46">
        <row r="21">
          <cell r="L21">
            <v>10576</v>
          </cell>
        </row>
        <row r="35">
          <cell r="D35">
            <v>194000.8288305148</v>
          </cell>
        </row>
      </sheetData>
      <sheetData sheetId="47">
        <row r="17">
          <cell r="L17">
            <v>8612</v>
          </cell>
        </row>
        <row r="31">
          <cell r="D31">
            <v>173674.1212087177</v>
          </cell>
        </row>
      </sheetData>
      <sheetData sheetId="48">
        <row r="20">
          <cell r="L20">
            <v>9373</v>
          </cell>
        </row>
        <row r="34">
          <cell r="D34">
            <v>191889.14859808001</v>
          </cell>
        </row>
      </sheetData>
      <sheetData sheetId="49">
        <row r="23">
          <cell r="L23">
            <v>11344</v>
          </cell>
        </row>
        <row r="26">
          <cell r="A26">
            <v>78404.625144000005</v>
          </cell>
        </row>
      </sheetData>
      <sheetData sheetId="50">
        <row r="22">
          <cell r="L22">
            <v>9960</v>
          </cell>
        </row>
        <row r="25">
          <cell r="A25">
            <v>79189.843542000002</v>
          </cell>
        </row>
      </sheetData>
      <sheetData sheetId="51">
        <row r="15">
          <cell r="L15">
            <v>7483</v>
          </cell>
        </row>
        <row r="18">
          <cell r="A18">
            <v>57280.362999999998</v>
          </cell>
        </row>
      </sheetData>
      <sheetData sheetId="52">
        <row r="20">
          <cell r="L20">
            <v>8173</v>
          </cell>
        </row>
        <row r="23">
          <cell r="A23">
            <v>53644.111343999997</v>
          </cell>
        </row>
      </sheetData>
      <sheetData sheetId="53">
        <row r="22">
          <cell r="L22">
            <v>10334</v>
          </cell>
        </row>
        <row r="25">
          <cell r="A25">
            <v>63183.006311999998</v>
          </cell>
        </row>
      </sheetData>
      <sheetData sheetId="54"/>
      <sheetData sheetId="55"/>
      <sheetData sheetId="56"/>
      <sheetData sheetId="57">
        <row r="9">
          <cell r="B9">
            <v>-4397.4684194272231</v>
          </cell>
          <cell r="E9">
            <v>-197.07508609389035</v>
          </cell>
          <cell r="H9">
            <v>-3350.3584194272235</v>
          </cell>
          <cell r="K9">
            <v>-2440.2756644407336</v>
          </cell>
          <cell r="N9">
            <v>-1385.1150860938903</v>
          </cell>
        </row>
        <row r="17">
          <cell r="B17">
            <v>-197.07508609389035</v>
          </cell>
          <cell r="E17">
            <v>-176.24175276055701</v>
          </cell>
          <cell r="H17">
            <v>-386.16508609389035</v>
          </cell>
          <cell r="K17">
            <v>-38303.935086093887</v>
          </cell>
          <cell r="N17">
            <v>-197.07508609389035</v>
          </cell>
        </row>
        <row r="25">
          <cell r="B25">
            <v>-203667.79508609386</v>
          </cell>
          <cell r="E25">
            <v>-127078.89288609389</v>
          </cell>
          <cell r="H25">
            <v>-4692.7250860938902</v>
          </cell>
          <cell r="K25">
            <v>-2042.7250860938902</v>
          </cell>
          <cell r="N25">
            <v>-3258.7584194272235</v>
          </cell>
        </row>
        <row r="33">
          <cell r="B33">
            <v>-4015.8517527605572</v>
          </cell>
          <cell r="E33">
            <v>-108779.05</v>
          </cell>
          <cell r="H33">
            <v>-108779.05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SUELDOS"/>
      <sheetName val="$ x km CARGADORES"/>
      <sheetName val="GASTOS"/>
      <sheetName val="GASTOS TRACTOR"/>
      <sheetName val="GASTOS SEMI"/>
    </sheetNames>
    <sheetDataSet>
      <sheetData sheetId="0"/>
      <sheetData sheetId="1"/>
      <sheetData sheetId="2"/>
      <sheetData sheetId="3"/>
      <sheetData sheetId="4">
        <row r="18">
          <cell r="L18">
            <v>9996</v>
          </cell>
        </row>
        <row r="21">
          <cell r="C21">
            <v>35.234093637454983</v>
          </cell>
        </row>
        <row r="35">
          <cell r="D35">
            <v>218075.71773481459</v>
          </cell>
        </row>
      </sheetData>
      <sheetData sheetId="5">
        <row r="23">
          <cell r="L23">
            <v>13524</v>
          </cell>
        </row>
        <row r="26">
          <cell r="C26">
            <v>33.155871044069798</v>
          </cell>
        </row>
        <row r="40">
          <cell r="D40">
            <v>533716.12152931234</v>
          </cell>
        </row>
      </sheetData>
      <sheetData sheetId="6">
        <row r="8">
          <cell r="L8">
            <v>2155</v>
          </cell>
        </row>
        <row r="11">
          <cell r="C11">
            <v>34.385150812064964</v>
          </cell>
        </row>
        <row r="25">
          <cell r="D25">
            <v>-69626.983492357176</v>
          </cell>
        </row>
      </sheetData>
      <sheetData sheetId="7">
        <row r="17">
          <cell r="L17">
            <v>9562</v>
          </cell>
        </row>
        <row r="20">
          <cell r="C20">
            <v>34.093285923446977</v>
          </cell>
        </row>
        <row r="34">
          <cell r="D34">
            <v>159565.04654370467</v>
          </cell>
        </row>
      </sheetData>
      <sheetData sheetId="8">
        <row r="21">
          <cell r="L21">
            <v>11804</v>
          </cell>
        </row>
        <row r="24">
          <cell r="C24">
            <v>31.667824466282617</v>
          </cell>
        </row>
        <row r="38">
          <cell r="D38">
            <v>459182.19376161176</v>
          </cell>
        </row>
      </sheetData>
      <sheetData sheetId="9">
        <row r="21">
          <cell r="L21">
            <v>11643</v>
          </cell>
        </row>
        <row r="24">
          <cell r="C24">
            <v>44.162501073606457</v>
          </cell>
        </row>
        <row r="38">
          <cell r="D38">
            <v>53900.547199415669</v>
          </cell>
        </row>
      </sheetData>
      <sheetData sheetId="10">
        <row r="19">
          <cell r="L19">
            <v>8510</v>
          </cell>
        </row>
        <row r="22">
          <cell r="C22">
            <v>47.046650998824916</v>
          </cell>
        </row>
        <row r="36">
          <cell r="D36">
            <v>-25589.380866809181</v>
          </cell>
        </row>
      </sheetData>
      <sheetData sheetId="11">
        <row r="26">
          <cell r="L26">
            <v>10179</v>
          </cell>
        </row>
        <row r="29">
          <cell r="C29">
            <v>34.860988309264172</v>
          </cell>
        </row>
        <row r="43">
          <cell r="D43">
            <v>274344.36345248995</v>
          </cell>
        </row>
      </sheetData>
      <sheetData sheetId="12">
        <row r="30">
          <cell r="L30">
            <v>11447</v>
          </cell>
        </row>
        <row r="33">
          <cell r="C33">
            <v>30.095221455403166</v>
          </cell>
        </row>
        <row r="47">
          <cell r="D47">
            <v>357742.00350028632</v>
          </cell>
        </row>
      </sheetData>
      <sheetData sheetId="13">
        <row r="16">
          <cell r="L16">
            <v>3384</v>
          </cell>
        </row>
        <row r="19">
          <cell r="C19">
            <v>36.347517730496456</v>
          </cell>
        </row>
        <row r="33">
          <cell r="D33">
            <v>-76314.402533187385</v>
          </cell>
        </row>
      </sheetData>
      <sheetData sheetId="14">
        <row r="14">
          <cell r="L14">
            <v>6159</v>
          </cell>
        </row>
        <row r="17">
          <cell r="C17">
            <v>41.581425556096768</v>
          </cell>
        </row>
        <row r="31">
          <cell r="D31">
            <v>55867.232177782644</v>
          </cell>
        </row>
      </sheetData>
      <sheetData sheetId="15">
        <row r="16">
          <cell r="L16">
            <v>8320</v>
          </cell>
        </row>
        <row r="19">
          <cell r="C19">
            <v>31.310096153846157</v>
          </cell>
        </row>
        <row r="33">
          <cell r="D33">
            <v>195728.97536161434</v>
          </cell>
        </row>
      </sheetData>
      <sheetData sheetId="16">
        <row r="18">
          <cell r="L18">
            <v>8319</v>
          </cell>
        </row>
        <row r="21">
          <cell r="C21">
            <v>40.112994350282491</v>
          </cell>
        </row>
        <row r="35">
          <cell r="D35">
            <v>111737.92606375332</v>
          </cell>
        </row>
      </sheetData>
      <sheetData sheetId="17">
        <row r="17">
          <cell r="L17">
            <v>8926</v>
          </cell>
        </row>
        <row r="20">
          <cell r="C20">
            <v>27.447904996639032</v>
          </cell>
        </row>
        <row r="34">
          <cell r="D34">
            <v>239553.13561594489</v>
          </cell>
        </row>
      </sheetData>
      <sheetData sheetId="18">
        <row r="26">
          <cell r="L26">
            <v>9114</v>
          </cell>
        </row>
        <row r="29">
          <cell r="C29">
            <v>31.343756857581745</v>
          </cell>
        </row>
        <row r="43">
          <cell r="D43">
            <v>164497.45033093478</v>
          </cell>
        </row>
      </sheetData>
      <sheetData sheetId="19">
        <row r="14">
          <cell r="L14">
            <v>6834</v>
          </cell>
        </row>
        <row r="17">
          <cell r="C17">
            <v>32.179836113549896</v>
          </cell>
        </row>
        <row r="31">
          <cell r="D31">
            <v>20494.54343975283</v>
          </cell>
        </row>
      </sheetData>
      <sheetData sheetId="20">
        <row r="25">
          <cell r="L25">
            <v>5050</v>
          </cell>
        </row>
        <row r="28">
          <cell r="C28">
            <v>29.188118811881186</v>
          </cell>
        </row>
        <row r="42">
          <cell r="D42">
            <v>-192976.05709200655</v>
          </cell>
        </row>
      </sheetData>
      <sheetData sheetId="21">
        <row r="23">
          <cell r="L23">
            <v>9800</v>
          </cell>
        </row>
        <row r="26">
          <cell r="C26">
            <v>35.717653061224489</v>
          </cell>
        </row>
        <row r="40">
          <cell r="D40">
            <v>170712.90102450905</v>
          </cell>
        </row>
      </sheetData>
      <sheetData sheetId="22">
        <row r="28">
          <cell r="L28">
            <v>11198</v>
          </cell>
        </row>
        <row r="31">
          <cell r="C31">
            <v>33.115199142704057</v>
          </cell>
        </row>
        <row r="45">
          <cell r="D45">
            <v>204027.55972637484</v>
          </cell>
        </row>
      </sheetData>
      <sheetData sheetId="23">
        <row r="22">
          <cell r="L22">
            <v>9541</v>
          </cell>
        </row>
        <row r="25">
          <cell r="C25">
            <v>37.488103972329945</v>
          </cell>
        </row>
        <row r="39">
          <cell r="D39">
            <v>249889.07688999851</v>
          </cell>
        </row>
      </sheetData>
      <sheetData sheetId="24">
        <row r="16">
          <cell r="L16">
            <v>7185</v>
          </cell>
        </row>
        <row r="19">
          <cell r="C19">
            <v>42.270146137787052</v>
          </cell>
        </row>
        <row r="33">
          <cell r="D33">
            <v>-169986.41365171943</v>
          </cell>
        </row>
      </sheetData>
      <sheetData sheetId="25">
        <row r="18">
          <cell r="L18">
            <v>8684</v>
          </cell>
        </row>
        <row r="32">
          <cell r="D32">
            <v>194777.96443355831</v>
          </cell>
        </row>
      </sheetData>
      <sheetData sheetId="26">
        <row r="20">
          <cell r="L20">
            <v>8863</v>
          </cell>
        </row>
        <row r="34">
          <cell r="D34">
            <v>22079.60920538436</v>
          </cell>
        </row>
      </sheetData>
      <sheetData sheetId="27">
        <row r="20">
          <cell r="L20">
            <v>8195</v>
          </cell>
        </row>
        <row r="34">
          <cell r="D34">
            <v>181860.93800694961</v>
          </cell>
        </row>
      </sheetData>
      <sheetData sheetId="28">
        <row r="18">
          <cell r="L18">
            <v>8850</v>
          </cell>
        </row>
        <row r="32">
          <cell r="D32">
            <v>162771.72005373216</v>
          </cell>
        </row>
      </sheetData>
      <sheetData sheetId="29">
        <row r="21">
          <cell r="L21">
            <v>9938</v>
          </cell>
        </row>
        <row r="35">
          <cell r="D35">
            <v>180588.08310277565</v>
          </cell>
        </row>
      </sheetData>
      <sheetData sheetId="30">
        <row r="18">
          <cell r="L18">
            <v>7510</v>
          </cell>
        </row>
        <row r="32">
          <cell r="D32">
            <v>153244.08462912351</v>
          </cell>
        </row>
      </sheetData>
      <sheetData sheetId="31">
        <row r="17">
          <cell r="L17">
            <v>8306</v>
          </cell>
        </row>
        <row r="31">
          <cell r="D31">
            <v>163783.17199121046</v>
          </cell>
        </row>
      </sheetData>
      <sheetData sheetId="32">
        <row r="17">
          <cell r="L17">
            <v>8736</v>
          </cell>
        </row>
        <row r="31">
          <cell r="D31">
            <v>185528.52027816701</v>
          </cell>
        </row>
      </sheetData>
      <sheetData sheetId="33">
        <row r="18">
          <cell r="L18">
            <v>8420</v>
          </cell>
        </row>
        <row r="32">
          <cell r="D32">
            <v>154286.20749477565</v>
          </cell>
        </row>
      </sheetData>
      <sheetData sheetId="34">
        <row r="12">
          <cell r="L12">
            <v>5126</v>
          </cell>
        </row>
        <row r="26">
          <cell r="D26">
            <v>100598.17693860175</v>
          </cell>
        </row>
      </sheetData>
      <sheetData sheetId="35">
        <row r="17">
          <cell r="L17">
            <v>8858</v>
          </cell>
        </row>
        <row r="31">
          <cell r="D31">
            <v>164272.49162321046</v>
          </cell>
        </row>
      </sheetData>
      <sheetData sheetId="36">
        <row r="22">
          <cell r="L22">
            <v>11472</v>
          </cell>
        </row>
        <row r="36">
          <cell r="D36">
            <v>235416.90912039889</v>
          </cell>
        </row>
      </sheetData>
      <sheetData sheetId="37">
        <row r="20">
          <cell r="L20">
            <v>11370</v>
          </cell>
        </row>
        <row r="34">
          <cell r="D34">
            <v>230556.04636405103</v>
          </cell>
        </row>
      </sheetData>
      <sheetData sheetId="38">
        <row r="16">
          <cell r="L16">
            <v>7768</v>
          </cell>
        </row>
        <row r="30">
          <cell r="D30">
            <v>147127.61913596405</v>
          </cell>
        </row>
      </sheetData>
      <sheetData sheetId="39">
        <row r="14">
          <cell r="L14">
            <v>7748</v>
          </cell>
        </row>
        <row r="28">
          <cell r="D28">
            <v>119286.09621060174</v>
          </cell>
        </row>
      </sheetData>
      <sheetData sheetId="40">
        <row r="13">
          <cell r="L13">
            <v>6310</v>
          </cell>
        </row>
        <row r="27">
          <cell r="D27">
            <v>118182.68681738435</v>
          </cell>
        </row>
      </sheetData>
      <sheetData sheetId="41">
        <row r="14">
          <cell r="L14">
            <v>5789</v>
          </cell>
        </row>
        <row r="28">
          <cell r="D28">
            <v>119412.92788152926</v>
          </cell>
        </row>
      </sheetData>
      <sheetData sheetId="42">
        <row r="16">
          <cell r="L16">
            <v>9436</v>
          </cell>
        </row>
        <row r="30">
          <cell r="D30">
            <v>189786.24937251481</v>
          </cell>
        </row>
      </sheetData>
      <sheetData sheetId="43">
        <row r="20">
          <cell r="L20">
            <v>11852</v>
          </cell>
        </row>
        <row r="34">
          <cell r="D34">
            <v>218645.80798894959</v>
          </cell>
        </row>
      </sheetData>
      <sheetData sheetId="44">
        <row r="24">
          <cell r="L24">
            <v>12452</v>
          </cell>
        </row>
        <row r="38">
          <cell r="D38">
            <v>253120.50720981916</v>
          </cell>
        </row>
      </sheetData>
      <sheetData sheetId="45">
        <row r="22">
          <cell r="L22">
            <v>11056</v>
          </cell>
        </row>
        <row r="36">
          <cell r="D36">
            <v>241919.41064686267</v>
          </cell>
        </row>
      </sheetData>
      <sheetData sheetId="46">
        <row r="21">
          <cell r="L21">
            <v>11766</v>
          </cell>
        </row>
        <row r="35">
          <cell r="D35">
            <v>232312.44556889165</v>
          </cell>
        </row>
      </sheetData>
      <sheetData sheetId="47">
        <row r="21">
          <cell r="L21">
            <v>10402</v>
          </cell>
        </row>
        <row r="35">
          <cell r="D35">
            <v>197949.72713851483</v>
          </cell>
        </row>
      </sheetData>
      <sheetData sheetId="48">
        <row r="22">
          <cell r="L22">
            <v>9744</v>
          </cell>
        </row>
        <row r="25">
          <cell r="A25">
            <v>66286.242683999997</v>
          </cell>
        </row>
      </sheetData>
      <sheetData sheetId="49">
        <row r="22">
          <cell r="L22">
            <v>11012</v>
          </cell>
        </row>
        <row r="25">
          <cell r="A25">
            <v>77249.079441000009</v>
          </cell>
        </row>
      </sheetData>
      <sheetData sheetId="50">
        <row r="14">
          <cell r="L14">
            <v>5583</v>
          </cell>
        </row>
        <row r="17">
          <cell r="A17">
            <v>41459.188000000002</v>
          </cell>
        </row>
      </sheetData>
      <sheetData sheetId="51">
        <row r="16">
          <cell r="L16">
            <v>7123</v>
          </cell>
        </row>
        <row r="19">
          <cell r="A19">
            <v>61353.038626000001</v>
          </cell>
        </row>
      </sheetData>
      <sheetData sheetId="52">
        <row r="8">
          <cell r="L8">
            <v>2662</v>
          </cell>
        </row>
        <row r="11">
          <cell r="A11">
            <v>19909.63221</v>
          </cell>
        </row>
      </sheetData>
      <sheetData sheetId="53">
        <row r="9">
          <cell r="B9">
            <v>-6384.9084194272236</v>
          </cell>
          <cell r="E9">
            <v>-197.07508609389035</v>
          </cell>
          <cell r="H9">
            <v>-124665.42500000003</v>
          </cell>
          <cell r="K9">
            <v>-41162.534999999996</v>
          </cell>
          <cell r="N9">
            <v>-1252.2356644407339</v>
          </cell>
        </row>
        <row r="17">
          <cell r="B17">
            <v>-1522.5550860938904</v>
          </cell>
          <cell r="E17">
            <v>-197.07508609389035</v>
          </cell>
          <cell r="H17">
            <v>-176.24175276055701</v>
          </cell>
          <cell r="K17">
            <v>-26896.885086093891</v>
          </cell>
          <cell r="N17">
            <v>-15679.90198609389</v>
          </cell>
        </row>
        <row r="25">
          <cell r="B25">
            <v>-197.07508609389035</v>
          </cell>
          <cell r="E25">
            <v>-197.07508609389035</v>
          </cell>
          <cell r="H25">
            <v>-5231.9850860938905</v>
          </cell>
          <cell r="K25">
            <v>-38756.002286093892</v>
          </cell>
          <cell r="N25">
            <v>-847.07508609389038</v>
          </cell>
        </row>
        <row r="33">
          <cell r="B33">
            <v>-2180.1650860938903</v>
          </cell>
          <cell r="E33">
            <v>-2180.1650860938903</v>
          </cell>
          <cell r="H33">
            <v>-5507.4384194272234</v>
          </cell>
          <cell r="K33">
            <v>-7318.7117527605569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BCC975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AA327US_TAMES"/>
      <sheetName val="AB631DS_TRAN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SUELDOS"/>
      <sheetName val="$ x KM Cargadores"/>
      <sheetName val="GASTOS"/>
      <sheetName val="GASTOS TRACTOR"/>
      <sheetName val="GASTOS SEMI"/>
    </sheetNames>
    <sheetDataSet>
      <sheetData sheetId="0"/>
      <sheetData sheetId="1">
        <row r="9">
          <cell r="AP9">
            <v>10220776.18246487</v>
          </cell>
        </row>
        <row r="14">
          <cell r="AP14">
            <v>508453</v>
          </cell>
        </row>
        <row r="41">
          <cell r="AQ41">
            <v>4698071.8006983809</v>
          </cell>
          <cell r="AR41">
            <v>202753</v>
          </cell>
        </row>
      </sheetData>
      <sheetData sheetId="2"/>
      <sheetData sheetId="3"/>
      <sheetData sheetId="4">
        <row r="10">
          <cell r="L10">
            <v>3176</v>
          </cell>
        </row>
        <row r="13">
          <cell r="C13">
            <v>35.957178841309826</v>
          </cell>
        </row>
        <row r="27">
          <cell r="D27">
            <v>33861.606974703871</v>
          </cell>
        </row>
      </sheetData>
      <sheetData sheetId="5">
        <row r="26">
          <cell r="L26">
            <v>16311</v>
          </cell>
        </row>
        <row r="29">
          <cell r="C29">
            <v>32.610692170927599</v>
          </cell>
        </row>
        <row r="43">
          <cell r="D43">
            <v>501855.44863211445</v>
          </cell>
        </row>
      </sheetData>
      <sheetData sheetId="6">
        <row r="23">
          <cell r="L23">
            <v>13792</v>
          </cell>
        </row>
        <row r="26">
          <cell r="C26">
            <v>32.924956496519727</v>
          </cell>
        </row>
        <row r="40">
          <cell r="D40">
            <v>496497.31457300915</v>
          </cell>
        </row>
      </sheetData>
      <sheetData sheetId="7">
        <row r="17">
          <cell r="L17">
            <v>9330</v>
          </cell>
        </row>
        <row r="20">
          <cell r="C20">
            <v>38.124544480171494</v>
          </cell>
        </row>
        <row r="34">
          <cell r="D34">
            <v>263728.80845306197</v>
          </cell>
        </row>
      </sheetData>
      <sheetData sheetId="8">
        <row r="25">
          <cell r="L25">
            <v>13728</v>
          </cell>
        </row>
        <row r="28">
          <cell r="C28">
            <v>31.796328671328673</v>
          </cell>
        </row>
        <row r="42">
          <cell r="D42">
            <v>474904.94893788616</v>
          </cell>
        </row>
      </sheetData>
      <sheetData sheetId="9">
        <row r="24">
          <cell r="L24">
            <v>11965</v>
          </cell>
        </row>
        <row r="27">
          <cell r="C27">
            <v>37.249394066025907</v>
          </cell>
        </row>
        <row r="41">
          <cell r="D41">
            <v>292243.32415204326</v>
          </cell>
        </row>
      </sheetData>
      <sheetData sheetId="10">
        <row r="24">
          <cell r="L24">
            <v>12251</v>
          </cell>
        </row>
        <row r="27">
          <cell r="C27">
            <v>39.564362092890377</v>
          </cell>
        </row>
        <row r="41">
          <cell r="D41">
            <v>219958.85157443071</v>
          </cell>
        </row>
      </sheetData>
      <sheetData sheetId="11"/>
      <sheetData sheetId="12">
        <row r="32">
          <cell r="L32">
            <v>8513</v>
          </cell>
        </row>
        <row r="35">
          <cell r="C35">
            <v>35.54810290144485</v>
          </cell>
        </row>
        <row r="49">
          <cell r="D49">
            <v>186387.28939250094</v>
          </cell>
        </row>
      </sheetData>
      <sheetData sheetId="13">
        <row r="13">
          <cell r="L13">
            <v>10570</v>
          </cell>
        </row>
        <row r="16">
          <cell r="C16">
            <v>39.77294228949858</v>
          </cell>
        </row>
        <row r="30">
          <cell r="D30">
            <v>776044.36575038487</v>
          </cell>
        </row>
      </sheetData>
      <sheetData sheetId="14">
        <row r="18">
          <cell r="L18">
            <v>7971</v>
          </cell>
        </row>
        <row r="21">
          <cell r="C21">
            <v>28.139505708192196</v>
          </cell>
        </row>
        <row r="35">
          <cell r="D35">
            <v>46856.314296440571</v>
          </cell>
        </row>
      </sheetData>
      <sheetData sheetId="15">
        <row r="26">
          <cell r="L26">
            <v>11872</v>
          </cell>
        </row>
        <row r="29">
          <cell r="C29">
            <v>32.144878706199457</v>
          </cell>
        </row>
        <row r="43">
          <cell r="D43">
            <v>556620.17069985648</v>
          </cell>
        </row>
      </sheetData>
      <sheetData sheetId="16">
        <row r="16">
          <cell r="L16">
            <v>8724</v>
          </cell>
        </row>
        <row r="19">
          <cell r="C19">
            <v>27.189362677670793</v>
          </cell>
        </row>
        <row r="33">
          <cell r="D33">
            <v>-45926.351298884314</v>
          </cell>
        </row>
      </sheetData>
      <sheetData sheetId="17">
        <row r="13">
          <cell r="L13">
            <v>3307</v>
          </cell>
        </row>
        <row r="16">
          <cell r="C16">
            <v>43.302086483217415</v>
          </cell>
        </row>
        <row r="30">
          <cell r="D30">
            <v>-231975.53030106833</v>
          </cell>
        </row>
      </sheetData>
      <sheetData sheetId="18">
        <row r="5">
          <cell r="L5">
            <v>450</v>
          </cell>
        </row>
      </sheetData>
      <sheetData sheetId="19">
        <row r="24">
          <cell r="L24">
            <v>7958</v>
          </cell>
        </row>
        <row r="27">
          <cell r="C27">
            <v>35.765644634330236</v>
          </cell>
        </row>
        <row r="41">
          <cell r="D41">
            <v>172255.40160564968</v>
          </cell>
        </row>
      </sheetData>
      <sheetData sheetId="20">
        <row r="13">
          <cell r="L13">
            <v>5730</v>
          </cell>
        </row>
        <row r="16">
          <cell r="C16">
            <v>23.38568935427574</v>
          </cell>
        </row>
        <row r="30">
          <cell r="D30">
            <v>-139656.0116368075</v>
          </cell>
        </row>
      </sheetData>
      <sheetData sheetId="21">
        <row r="28">
          <cell r="L28">
            <v>13324</v>
          </cell>
        </row>
        <row r="31">
          <cell r="C31">
            <v>39.4542179525668</v>
          </cell>
        </row>
        <row r="45">
          <cell r="D45">
            <v>297008.57821968227</v>
          </cell>
        </row>
      </sheetData>
      <sheetData sheetId="22">
        <row r="23">
          <cell r="L23">
            <v>10662</v>
          </cell>
        </row>
        <row r="26">
          <cell r="C26">
            <v>37.938473081973363</v>
          </cell>
        </row>
        <row r="40">
          <cell r="D40">
            <v>166858.78850391967</v>
          </cell>
        </row>
      </sheetData>
      <sheetData sheetId="23">
        <row r="34">
          <cell r="L34">
            <v>10970</v>
          </cell>
        </row>
        <row r="37">
          <cell r="C37">
            <v>25.332725615314494</v>
          </cell>
        </row>
        <row r="51">
          <cell r="D51">
            <v>240120.94486452383</v>
          </cell>
        </row>
      </sheetData>
      <sheetData sheetId="24">
        <row r="23">
          <cell r="L23">
            <v>11982</v>
          </cell>
        </row>
        <row r="26">
          <cell r="C26">
            <v>35.065765314638625</v>
          </cell>
        </row>
        <row r="40">
          <cell r="D40">
            <v>291131.27166325122</v>
          </cell>
        </row>
      </sheetData>
      <sheetData sheetId="25">
        <row r="24">
          <cell r="L24">
            <v>10167</v>
          </cell>
        </row>
        <row r="27">
          <cell r="C27">
            <v>37.876069637061086</v>
          </cell>
        </row>
        <row r="41">
          <cell r="D41">
            <v>253859.40164750098</v>
          </cell>
        </row>
      </sheetData>
      <sheetData sheetId="26">
        <row r="26">
          <cell r="L26">
            <v>13202</v>
          </cell>
        </row>
        <row r="40">
          <cell r="D40">
            <v>283932.45266377862</v>
          </cell>
        </row>
      </sheetData>
      <sheetData sheetId="27">
        <row r="13">
          <cell r="L13">
            <v>5475</v>
          </cell>
        </row>
        <row r="27">
          <cell r="D27">
            <v>141573.74496543079</v>
          </cell>
        </row>
      </sheetData>
      <sheetData sheetId="28">
        <row r="25">
          <cell r="L25">
            <v>12205</v>
          </cell>
        </row>
        <row r="39">
          <cell r="D39">
            <v>243431.73266056125</v>
          </cell>
        </row>
      </sheetData>
      <sheetData sheetId="29">
        <row r="29">
          <cell r="L29">
            <v>14446</v>
          </cell>
        </row>
        <row r="43">
          <cell r="D43">
            <v>280346.23608508299</v>
          </cell>
        </row>
      </sheetData>
      <sheetData sheetId="30">
        <row r="30">
          <cell r="L30">
            <v>13867</v>
          </cell>
        </row>
        <row r="44">
          <cell r="D44">
            <v>308374.20455247437</v>
          </cell>
        </row>
      </sheetData>
      <sheetData sheetId="31">
        <row r="23">
          <cell r="L23">
            <v>10688</v>
          </cell>
        </row>
        <row r="37">
          <cell r="D37">
            <v>232046.19680621335</v>
          </cell>
        </row>
      </sheetData>
      <sheetData sheetId="32">
        <row r="28">
          <cell r="L28">
            <v>14263</v>
          </cell>
        </row>
        <row r="42">
          <cell r="D42">
            <v>328358.21304273524</v>
          </cell>
        </row>
      </sheetData>
      <sheetData sheetId="33">
        <row r="21">
          <cell r="L21">
            <v>10565</v>
          </cell>
        </row>
        <row r="35">
          <cell r="D35">
            <v>121190.75927510357</v>
          </cell>
        </row>
      </sheetData>
      <sheetData sheetId="34">
        <row r="15">
          <cell r="L15">
            <v>5376</v>
          </cell>
        </row>
        <row r="29">
          <cell r="D29">
            <v>72656.802303865581</v>
          </cell>
        </row>
      </sheetData>
      <sheetData sheetId="35">
        <row r="23">
          <cell r="L23">
            <v>10470</v>
          </cell>
        </row>
        <row r="37">
          <cell r="D37">
            <v>228068.16905803949</v>
          </cell>
        </row>
      </sheetData>
      <sheetData sheetId="36">
        <row r="21">
          <cell r="L21">
            <v>11869</v>
          </cell>
        </row>
        <row r="35">
          <cell r="D35">
            <v>231220.33260343081</v>
          </cell>
        </row>
      </sheetData>
      <sheetData sheetId="37">
        <row r="19">
          <cell r="L19">
            <v>9660</v>
          </cell>
        </row>
        <row r="33">
          <cell r="D33">
            <v>224455.01985644532</v>
          </cell>
        </row>
      </sheetData>
      <sheetData sheetId="38">
        <row r="23">
          <cell r="L23">
            <v>11525</v>
          </cell>
        </row>
        <row r="37">
          <cell r="D37">
            <v>222695.35780774959</v>
          </cell>
        </row>
      </sheetData>
      <sheetData sheetId="39">
        <row r="25">
          <cell r="L25">
            <v>11992</v>
          </cell>
        </row>
        <row r="39">
          <cell r="D39">
            <v>240163.48863131486</v>
          </cell>
        </row>
      </sheetData>
      <sheetData sheetId="40">
        <row r="19">
          <cell r="L19">
            <v>10376</v>
          </cell>
        </row>
        <row r="33">
          <cell r="D33">
            <v>241610.38497873518</v>
          </cell>
        </row>
      </sheetData>
      <sheetData sheetId="41">
        <row r="24">
          <cell r="L24">
            <v>13208</v>
          </cell>
        </row>
        <row r="38">
          <cell r="D38">
            <v>278912.83328969171</v>
          </cell>
        </row>
      </sheetData>
      <sheetData sheetId="42">
        <row r="23">
          <cell r="L23">
            <v>12107</v>
          </cell>
        </row>
        <row r="37">
          <cell r="D37">
            <v>236688.56349131491</v>
          </cell>
        </row>
      </sheetData>
      <sheetData sheetId="43">
        <row r="11">
          <cell r="L11">
            <v>4918</v>
          </cell>
        </row>
        <row r="25">
          <cell r="D25">
            <v>107963.75300316993</v>
          </cell>
        </row>
      </sheetData>
      <sheetData sheetId="44">
        <row r="25">
          <cell r="L25">
            <v>16106</v>
          </cell>
        </row>
        <row r="39">
          <cell r="D39">
            <v>365128.77357569174</v>
          </cell>
        </row>
      </sheetData>
      <sheetData sheetId="45">
        <row r="21">
          <cell r="L21">
            <v>12905</v>
          </cell>
        </row>
        <row r="35">
          <cell r="D35">
            <v>245782.05891108303</v>
          </cell>
        </row>
      </sheetData>
      <sheetData sheetId="46">
        <row r="21">
          <cell r="L21">
            <v>11106</v>
          </cell>
        </row>
        <row r="35">
          <cell r="D35">
            <v>229523.18091482215</v>
          </cell>
        </row>
      </sheetData>
      <sheetData sheetId="47">
        <row r="11">
          <cell r="L11">
            <v>4580</v>
          </cell>
        </row>
        <row r="25">
          <cell r="D25">
            <v>79895.410050068487</v>
          </cell>
        </row>
      </sheetData>
      <sheetData sheetId="48">
        <row r="21">
          <cell r="L21">
            <v>12502</v>
          </cell>
        </row>
        <row r="35">
          <cell r="D35">
            <v>283572.6198672569</v>
          </cell>
        </row>
      </sheetData>
      <sheetData sheetId="49">
        <row r="19">
          <cell r="L19">
            <v>9762</v>
          </cell>
        </row>
        <row r="22">
          <cell r="A22">
            <v>73260.933725099996</v>
          </cell>
        </row>
      </sheetData>
      <sheetData sheetId="50">
        <row r="23">
          <cell r="L23">
            <v>10915</v>
          </cell>
        </row>
        <row r="26">
          <cell r="A26">
            <v>98806.476796999996</v>
          </cell>
        </row>
      </sheetData>
      <sheetData sheetId="51">
        <row r="22">
          <cell r="L22">
            <v>10745</v>
          </cell>
        </row>
        <row r="25">
          <cell r="A25">
            <v>100983.52800000001</v>
          </cell>
        </row>
      </sheetData>
      <sheetData sheetId="52">
        <row r="23">
          <cell r="L23">
            <v>9772</v>
          </cell>
        </row>
        <row r="26">
          <cell r="A26">
            <v>74094.821042999989</v>
          </cell>
        </row>
      </sheetData>
      <sheetData sheetId="53">
        <row r="24">
          <cell r="L24">
            <v>11095</v>
          </cell>
        </row>
        <row r="27">
          <cell r="A27">
            <v>82811.128163999994</v>
          </cell>
        </row>
      </sheetData>
      <sheetData sheetId="54">
        <row r="9">
          <cell r="B9">
            <v>-4860.0088545224535</v>
          </cell>
          <cell r="E9">
            <v>-3760.0088545224544</v>
          </cell>
          <cell r="H9">
            <v>-3336.7821878557879</v>
          </cell>
          <cell r="K9">
            <v>-2335.5044996837441</v>
          </cell>
          <cell r="N9">
            <v>-5916.7544996837441</v>
          </cell>
        </row>
        <row r="17">
          <cell r="B17">
            <v>-33773.935843769759</v>
          </cell>
          <cell r="E17">
            <v>-8210.8355502213781</v>
          </cell>
          <cell r="H17">
            <v>-281.93165022137885</v>
          </cell>
          <cell r="K17">
            <v>-262.87788678051868</v>
          </cell>
          <cell r="N17">
            <v>-281.93165022137885</v>
          </cell>
        </row>
        <row r="25">
          <cell r="B25">
            <v>-85873.071650221376</v>
          </cell>
          <cell r="E25">
            <v>-1465.131650221379</v>
          </cell>
          <cell r="H25">
            <v>-4119.5316502213791</v>
          </cell>
          <cell r="K25">
            <v>-10281.931650221379</v>
          </cell>
          <cell r="N25">
            <v>-281.93165022137885</v>
          </cell>
        </row>
        <row r="33">
          <cell r="B33">
            <v>-120789.20016204934</v>
          </cell>
          <cell r="E33">
            <v>-939.54165022137886</v>
          </cell>
          <cell r="H33">
            <v>-2218.0316502213791</v>
          </cell>
          <cell r="K33">
            <v>-2573.3749835547123</v>
          </cell>
          <cell r="N33">
            <v>2156.3878121442121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BCC975_VIAR"/>
      <sheetName val="FWT827_VIAR"/>
      <sheetName val="HWF024_VIAR"/>
      <sheetName val="HWF026_VIAR"/>
      <sheetName val="JRY934_VIAR"/>
      <sheetName val="JZP219_VIAR"/>
      <sheetName val="KMU569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JMY346_SCAMER"/>
      <sheetName val="KAF077_SCAMER"/>
      <sheetName val="KOE220_BALDASSARRE"/>
      <sheetName val="KSL959_BALDASSARRE"/>
      <sheetName val="AA996WC_CASTILLO"/>
      <sheetName val="AC377BI_GODOY"/>
      <sheetName val="AA612XR_ITATI"/>
      <sheetName val="HVE658_ITATI"/>
      <sheetName val="KNQ676_ITATI"/>
      <sheetName val="HAU361_LOPEZ"/>
      <sheetName val="OMA273_LOPEZ"/>
      <sheetName val="KGF058_REYERO"/>
      <sheetName val="OVQ005_S.Y.L"/>
      <sheetName val="PIA309_S.Y.L"/>
      <sheetName val="AB206GS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AA433UY_LAZZARONE"/>
      <sheetName val="EFB665_LAZZARONE"/>
      <sheetName val="KBG187_LAZZARONE"/>
      <sheetName val="UNIDADES SIN USO"/>
      <sheetName val="SEGURO"/>
      <sheetName val="PATENTE MUNICIPAL"/>
      <sheetName val="PATENTE PROVINCIAL"/>
      <sheetName val="COMBUSTIBLE"/>
      <sheetName val="UREA"/>
      <sheetName val="SUELDO"/>
      <sheetName val="$ x KM CARGADORES"/>
      <sheetName val="GASTOS"/>
      <sheetName val="GASTOS TRACTOR"/>
      <sheetName val="GASTOS SEMI"/>
    </sheetNames>
    <sheetDataSet>
      <sheetData sheetId="0"/>
      <sheetData sheetId="1"/>
      <sheetData sheetId="2"/>
      <sheetData sheetId="3">
        <row r="22">
          <cell r="L22">
            <v>12720</v>
          </cell>
        </row>
        <row r="39">
          <cell r="D39">
            <v>162845.72350115285</v>
          </cell>
        </row>
      </sheetData>
      <sheetData sheetId="4">
        <row r="20">
          <cell r="L20">
            <v>11603</v>
          </cell>
        </row>
        <row r="37">
          <cell r="D37">
            <v>173849.61381799311</v>
          </cell>
        </row>
      </sheetData>
      <sheetData sheetId="5">
        <row r="20">
          <cell r="L20">
            <v>11188</v>
          </cell>
        </row>
        <row r="37">
          <cell r="D37">
            <v>166547.48783741466</v>
          </cell>
        </row>
      </sheetData>
      <sheetData sheetId="6">
        <row r="17">
          <cell r="L17">
            <v>9396</v>
          </cell>
        </row>
        <row r="34">
          <cell r="D34">
            <v>188281.22764839788</v>
          </cell>
        </row>
      </sheetData>
      <sheetData sheetId="7">
        <row r="21">
          <cell r="L21">
            <v>11642</v>
          </cell>
        </row>
        <row r="38">
          <cell r="D38">
            <v>313831.89572752104</v>
          </cell>
        </row>
      </sheetData>
      <sheetData sheetId="8">
        <row r="16">
          <cell r="L16">
            <v>6748</v>
          </cell>
        </row>
        <row r="33">
          <cell r="D33">
            <v>27439.005802985062</v>
          </cell>
        </row>
      </sheetData>
      <sheetData sheetId="9">
        <row r="8">
          <cell r="L8">
            <v>2847</v>
          </cell>
        </row>
        <row r="25">
          <cell r="D25">
            <v>-18515.023385113331</v>
          </cell>
        </row>
      </sheetData>
      <sheetData sheetId="10">
        <row r="16">
          <cell r="L16">
            <v>110</v>
          </cell>
        </row>
        <row r="33">
          <cell r="D33">
            <v>56620.636545924543</v>
          </cell>
        </row>
      </sheetData>
      <sheetData sheetId="11">
        <row r="8">
          <cell r="L8">
            <v>1600</v>
          </cell>
        </row>
        <row r="25">
          <cell r="D25">
            <v>-50504.066500207962</v>
          </cell>
        </row>
      </sheetData>
      <sheetData sheetId="12">
        <row r="22">
          <cell r="L22">
            <v>10423</v>
          </cell>
        </row>
        <row r="39">
          <cell r="D39">
            <v>72095.891459992796</v>
          </cell>
        </row>
      </sheetData>
      <sheetData sheetId="13">
        <row r="31">
          <cell r="L31">
            <v>12137</v>
          </cell>
        </row>
        <row r="48">
          <cell r="D48">
            <v>140797.03144823015</v>
          </cell>
        </row>
      </sheetData>
      <sheetData sheetId="14">
        <row r="17">
          <cell r="L17">
            <v>7621</v>
          </cell>
        </row>
        <row r="34">
          <cell r="D34">
            <v>176727.92035418405</v>
          </cell>
        </row>
      </sheetData>
      <sheetData sheetId="15">
        <row r="17">
          <cell r="L17">
            <v>8936</v>
          </cell>
        </row>
        <row r="34">
          <cell r="D34">
            <v>167332.08271511164</v>
          </cell>
        </row>
      </sheetData>
      <sheetData sheetId="16">
        <row r="15">
          <cell r="L15">
            <v>5914</v>
          </cell>
        </row>
        <row r="32">
          <cell r="D32">
            <v>-91927.423862837939</v>
          </cell>
        </row>
      </sheetData>
      <sheetData sheetId="17">
        <row r="17">
          <cell r="L17">
            <v>6937</v>
          </cell>
        </row>
        <row r="34">
          <cell r="D34">
            <v>83454.224870395614</v>
          </cell>
        </row>
      </sheetData>
      <sheetData sheetId="18">
        <row r="14">
          <cell r="L14">
            <v>5992</v>
          </cell>
        </row>
        <row r="31">
          <cell r="D31">
            <v>77811.748186650497</v>
          </cell>
        </row>
      </sheetData>
      <sheetData sheetId="19">
        <row r="24">
          <cell r="L24">
            <v>9554</v>
          </cell>
        </row>
        <row r="41">
          <cell r="D41">
            <v>154132.40364793467</v>
          </cell>
        </row>
      </sheetData>
      <sheetData sheetId="20">
        <row r="22">
          <cell r="L22">
            <v>8799</v>
          </cell>
        </row>
        <row r="39">
          <cell r="D39">
            <v>111218.91060217466</v>
          </cell>
        </row>
      </sheetData>
      <sheetData sheetId="21">
        <row r="14">
          <cell r="L14">
            <v>5343</v>
          </cell>
        </row>
        <row r="31">
          <cell r="D31">
            <v>60775.399549779031</v>
          </cell>
        </row>
      </sheetData>
      <sheetData sheetId="22">
        <row r="18">
          <cell r="L18">
            <v>8711</v>
          </cell>
        </row>
        <row r="35">
          <cell r="D35">
            <v>3136.4631317102321</v>
          </cell>
        </row>
      </sheetData>
      <sheetData sheetId="23">
        <row r="15">
          <cell r="L15">
            <v>5654</v>
          </cell>
        </row>
        <row r="32">
          <cell r="D32">
            <v>-51712.417169934561</v>
          </cell>
        </row>
      </sheetData>
      <sheetData sheetId="24">
        <row r="21">
          <cell r="L21">
            <v>9746</v>
          </cell>
        </row>
        <row r="35">
          <cell r="D35">
            <v>105838.39278886263</v>
          </cell>
        </row>
      </sheetData>
      <sheetData sheetId="25">
        <row r="9">
          <cell r="L9">
            <v>3129</v>
          </cell>
        </row>
        <row r="23">
          <cell r="D23">
            <v>52696.141278080016</v>
          </cell>
        </row>
      </sheetData>
      <sheetData sheetId="26">
        <row r="19">
          <cell r="L19">
            <v>8946</v>
          </cell>
        </row>
        <row r="33">
          <cell r="D33">
            <v>139373.03998306554</v>
          </cell>
        </row>
      </sheetData>
      <sheetData sheetId="27">
        <row r="19">
          <cell r="L19">
            <v>9161</v>
          </cell>
        </row>
        <row r="33">
          <cell r="D33">
            <v>123422.08767112347</v>
          </cell>
        </row>
      </sheetData>
      <sheetData sheetId="28">
        <row r="21">
          <cell r="L21">
            <v>9220</v>
          </cell>
        </row>
        <row r="35">
          <cell r="D35">
            <v>108280.96713738437</v>
          </cell>
        </row>
      </sheetData>
      <sheetData sheetId="29">
        <row r="18">
          <cell r="L18">
            <v>8999</v>
          </cell>
        </row>
        <row r="32">
          <cell r="D32">
            <v>135607.67054228293</v>
          </cell>
        </row>
      </sheetData>
      <sheetData sheetId="30">
        <row r="23">
          <cell r="L23">
            <v>10167</v>
          </cell>
        </row>
        <row r="37">
          <cell r="D37">
            <v>166244.38975541337</v>
          </cell>
        </row>
      </sheetData>
      <sheetData sheetId="31">
        <row r="19">
          <cell r="L19">
            <v>7290</v>
          </cell>
        </row>
        <row r="33">
          <cell r="D33">
            <v>24510.445751732186</v>
          </cell>
        </row>
      </sheetData>
      <sheetData sheetId="32">
        <row r="35">
          <cell r="L35">
            <v>8480</v>
          </cell>
        </row>
        <row r="49">
          <cell r="D49">
            <v>92273.847862022056</v>
          </cell>
        </row>
      </sheetData>
      <sheetData sheetId="33">
        <row r="18">
          <cell r="L18">
            <v>7717</v>
          </cell>
        </row>
        <row r="32">
          <cell r="D32">
            <v>71629.929643993062</v>
          </cell>
        </row>
      </sheetData>
      <sheetData sheetId="34">
        <row r="19">
          <cell r="L19">
            <v>8498</v>
          </cell>
        </row>
        <row r="33">
          <cell r="D33">
            <v>106314.40380781914</v>
          </cell>
        </row>
      </sheetData>
      <sheetData sheetId="35">
        <row r="21">
          <cell r="L21">
            <v>10588</v>
          </cell>
        </row>
        <row r="35">
          <cell r="D35">
            <v>138050.42413129742</v>
          </cell>
        </row>
      </sheetData>
      <sheetData sheetId="36">
        <row r="22">
          <cell r="L22">
            <v>12344</v>
          </cell>
        </row>
        <row r="36">
          <cell r="D36">
            <v>100660.41206068872</v>
          </cell>
        </row>
      </sheetData>
      <sheetData sheetId="37">
        <row r="20">
          <cell r="L20">
            <v>11574</v>
          </cell>
        </row>
        <row r="34">
          <cell r="D34">
            <v>160538.38776344236</v>
          </cell>
        </row>
      </sheetData>
      <sheetData sheetId="38">
        <row r="23">
          <cell r="L23">
            <v>12786</v>
          </cell>
        </row>
        <row r="37">
          <cell r="D37">
            <v>113022.11658755827</v>
          </cell>
        </row>
      </sheetData>
      <sheetData sheetId="39">
        <row r="19">
          <cell r="L19">
            <v>9972</v>
          </cell>
        </row>
        <row r="33">
          <cell r="D33">
            <v>95778.741918166968</v>
          </cell>
        </row>
      </sheetData>
      <sheetData sheetId="40">
        <row r="20">
          <cell r="L20">
            <v>11186</v>
          </cell>
        </row>
        <row r="34">
          <cell r="D34">
            <v>163098.66402596407</v>
          </cell>
        </row>
      </sheetData>
      <sheetData sheetId="41">
        <row r="18">
          <cell r="L18">
            <v>9872</v>
          </cell>
        </row>
        <row r="32">
          <cell r="D32">
            <v>134536.32159077568</v>
          </cell>
        </row>
      </sheetData>
      <sheetData sheetId="42">
        <row r="19">
          <cell r="L19">
            <v>11239</v>
          </cell>
        </row>
        <row r="33">
          <cell r="D33">
            <v>172845.98262518144</v>
          </cell>
        </row>
      </sheetData>
      <sheetData sheetId="43">
        <row r="9">
          <cell r="L9">
            <v>3606</v>
          </cell>
        </row>
        <row r="23">
          <cell r="D23">
            <v>41601.452977703215</v>
          </cell>
        </row>
      </sheetData>
      <sheetData sheetId="44">
        <row r="17">
          <cell r="L17">
            <v>9580</v>
          </cell>
        </row>
        <row r="31">
          <cell r="D31">
            <v>150379.96341332642</v>
          </cell>
        </row>
      </sheetData>
      <sheetData sheetId="45">
        <row r="17">
          <cell r="L17">
            <v>10390</v>
          </cell>
        </row>
        <row r="31">
          <cell r="D31">
            <v>136824.14487086266</v>
          </cell>
        </row>
      </sheetData>
      <sheetData sheetId="46">
        <row r="18">
          <cell r="L18">
            <v>8321</v>
          </cell>
        </row>
        <row r="32">
          <cell r="D32">
            <v>120747.62445770323</v>
          </cell>
        </row>
      </sheetData>
      <sheetData sheetId="47">
        <row r="19">
          <cell r="L19">
            <v>11126</v>
          </cell>
        </row>
        <row r="33">
          <cell r="D33">
            <v>119146.61575552929</v>
          </cell>
        </row>
      </sheetData>
      <sheetData sheetId="48">
        <row r="23">
          <cell r="L23">
            <v>12792</v>
          </cell>
        </row>
        <row r="37">
          <cell r="D37">
            <v>193208.04734860177</v>
          </cell>
        </row>
      </sheetData>
      <sheetData sheetId="49">
        <row r="19">
          <cell r="L19">
            <v>9724</v>
          </cell>
        </row>
        <row r="33">
          <cell r="D33">
            <v>151439.19456836989</v>
          </cell>
        </row>
      </sheetData>
      <sheetData sheetId="50">
        <row r="22">
          <cell r="L22">
            <v>11786</v>
          </cell>
        </row>
        <row r="36">
          <cell r="D36">
            <v>170393.55973364523</v>
          </cell>
        </row>
      </sheetData>
      <sheetData sheetId="51">
        <row r="29">
          <cell r="L29">
            <v>11270</v>
          </cell>
        </row>
        <row r="32">
          <cell r="A32">
            <v>70673.533498999997</v>
          </cell>
        </row>
      </sheetData>
      <sheetData sheetId="52">
        <row r="22">
          <cell r="L22">
            <v>8580</v>
          </cell>
        </row>
        <row r="25">
          <cell r="A25">
            <v>58560.646593000005</v>
          </cell>
        </row>
      </sheetData>
      <sheetData sheetId="53">
        <row r="21">
          <cell r="L21">
            <v>8413</v>
          </cell>
        </row>
        <row r="24">
          <cell r="A24">
            <v>48604.082999999999</v>
          </cell>
        </row>
      </sheetData>
      <sheetData sheetId="54">
        <row r="23">
          <cell r="L23">
            <v>10056</v>
          </cell>
        </row>
        <row r="26">
          <cell r="A26">
            <v>59094.022524</v>
          </cell>
        </row>
      </sheetData>
      <sheetData sheetId="55">
        <row r="20">
          <cell r="L20">
            <v>9216</v>
          </cell>
        </row>
        <row r="23">
          <cell r="A23">
            <v>46871.047292999996</v>
          </cell>
        </row>
      </sheetData>
      <sheetData sheetId="56"/>
      <sheetData sheetId="57"/>
      <sheetData sheetId="58"/>
      <sheetData sheetId="59">
        <row r="9">
          <cell r="B9">
            <v>-22964.855086093892</v>
          </cell>
          <cell r="E9">
            <v>-176.24175276055701</v>
          </cell>
          <cell r="H9">
            <v>-2015.144252760557</v>
          </cell>
          <cell r="K9">
            <v>-1590.7850860938904</v>
          </cell>
        </row>
        <row r="17">
          <cell r="B17">
            <v>-744.57175276055705</v>
          </cell>
          <cell r="E17">
            <v>-744.57175276055705</v>
          </cell>
          <cell r="H17">
            <v>-1016.2550860938904</v>
          </cell>
          <cell r="K17">
            <v>-10116.93508609389</v>
          </cell>
        </row>
        <row r="25">
          <cell r="B25">
            <v>-5647.591752760557</v>
          </cell>
          <cell r="E25">
            <v>-19964.152331107398</v>
          </cell>
          <cell r="H25">
            <v>-1910.4384194272236</v>
          </cell>
          <cell r="K25">
            <v>-4092.4384194272234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BCC975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JMY346_SCAMER"/>
      <sheetName val="KAF077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PIA309_S.Y.L"/>
      <sheetName val="AB206GS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UREA"/>
      <sheetName val="SUELDOS"/>
      <sheetName val="$ x KM CARGADORES"/>
      <sheetName val="GASTOS"/>
      <sheetName val="GASTOS TRACTOR"/>
      <sheetName val="GASTOS SEMI"/>
    </sheetNames>
    <sheetDataSet>
      <sheetData sheetId="0"/>
      <sheetData sheetId="1"/>
      <sheetData sheetId="2"/>
      <sheetData sheetId="3">
        <row r="21">
          <cell r="L21">
            <v>11328</v>
          </cell>
        </row>
        <row r="38">
          <cell r="D38">
            <v>220481.50934930748</v>
          </cell>
        </row>
      </sheetData>
      <sheetData sheetId="4">
        <row r="20">
          <cell r="L20">
            <v>11572</v>
          </cell>
        </row>
        <row r="37">
          <cell r="D37">
            <v>264060.68575768161</v>
          </cell>
        </row>
      </sheetData>
      <sheetData sheetId="5">
        <row r="20">
          <cell r="L20">
            <v>11078</v>
          </cell>
        </row>
        <row r="37">
          <cell r="D37">
            <v>169106.30918563818</v>
          </cell>
        </row>
      </sheetData>
      <sheetData sheetId="6">
        <row r="19">
          <cell r="L19">
            <v>9570</v>
          </cell>
        </row>
        <row r="36">
          <cell r="D36">
            <v>45823.227138953749</v>
          </cell>
        </row>
      </sheetData>
      <sheetData sheetId="7">
        <row r="21">
          <cell r="L21">
            <v>11910</v>
          </cell>
        </row>
        <row r="38">
          <cell r="D38">
            <v>232210.47639057305</v>
          </cell>
        </row>
      </sheetData>
      <sheetData sheetId="8">
        <row r="23">
          <cell r="L23">
            <v>7295</v>
          </cell>
        </row>
        <row r="40">
          <cell r="D40">
            <v>24118.004620482068</v>
          </cell>
        </row>
      </sheetData>
      <sheetData sheetId="9">
        <row r="11">
          <cell r="L11">
            <v>3595</v>
          </cell>
        </row>
        <row r="28">
          <cell r="D28">
            <v>124089.85197301215</v>
          </cell>
        </row>
      </sheetData>
      <sheetData sheetId="10">
        <row r="22">
          <cell r="D22">
            <v>-59044.416548749068</v>
          </cell>
        </row>
      </sheetData>
      <sheetData sheetId="11">
        <row r="23">
          <cell r="L23">
            <v>9603</v>
          </cell>
        </row>
        <row r="40">
          <cell r="D40">
            <v>125847.88047567406</v>
          </cell>
        </row>
      </sheetData>
      <sheetData sheetId="12">
        <row r="20">
          <cell r="L20">
            <v>8651</v>
          </cell>
        </row>
        <row r="37">
          <cell r="D37">
            <v>-73718.822996089817</v>
          </cell>
        </row>
      </sheetData>
      <sheetData sheetId="13">
        <row r="20">
          <cell r="L20">
            <v>8393</v>
          </cell>
        </row>
        <row r="37">
          <cell r="D37">
            <v>408584.22215137392</v>
          </cell>
        </row>
      </sheetData>
      <sheetData sheetId="14">
        <row r="18">
          <cell r="L18">
            <v>6008</v>
          </cell>
        </row>
        <row r="35">
          <cell r="D35">
            <v>-90053.706042153164</v>
          </cell>
        </row>
      </sheetData>
      <sheetData sheetId="15">
        <row r="20">
          <cell r="L20">
            <v>11438</v>
          </cell>
        </row>
        <row r="37">
          <cell r="D37">
            <v>192527.99207791261</v>
          </cell>
        </row>
      </sheetData>
      <sheetData sheetId="16">
        <row r="13">
          <cell r="L13">
            <v>5236</v>
          </cell>
        </row>
        <row r="30">
          <cell r="D30">
            <v>-81092.729274290381</v>
          </cell>
        </row>
      </sheetData>
      <sheetData sheetId="17">
        <row r="14">
          <cell r="L14">
            <v>6360</v>
          </cell>
        </row>
        <row r="31">
          <cell r="D31">
            <v>-17688.618361691944</v>
          </cell>
        </row>
      </sheetData>
      <sheetData sheetId="18">
        <row r="18">
          <cell r="L18">
            <v>6846</v>
          </cell>
        </row>
        <row r="35">
          <cell r="D35">
            <v>75155.774377737223</v>
          </cell>
        </row>
      </sheetData>
      <sheetData sheetId="19">
        <row r="17">
          <cell r="L17">
            <v>7876</v>
          </cell>
        </row>
        <row r="34">
          <cell r="D34">
            <v>111860.48954304264</v>
          </cell>
        </row>
      </sheetData>
      <sheetData sheetId="20">
        <row r="24">
          <cell r="L24">
            <v>7379</v>
          </cell>
        </row>
        <row r="41">
          <cell r="D41">
            <v>165840.31242620706</v>
          </cell>
        </row>
      </sheetData>
      <sheetData sheetId="21">
        <row r="21">
          <cell r="L21">
            <v>8645</v>
          </cell>
        </row>
        <row r="38">
          <cell r="D38">
            <v>143012.69892034281</v>
          </cell>
        </row>
      </sheetData>
      <sheetData sheetId="22">
        <row r="15">
          <cell r="L15">
            <v>5447</v>
          </cell>
        </row>
        <row r="32">
          <cell r="D32">
            <v>-270381.76956510055</v>
          </cell>
        </row>
      </sheetData>
      <sheetData sheetId="23">
        <row r="24">
          <cell r="L24">
            <v>10641</v>
          </cell>
        </row>
        <row r="41">
          <cell r="D41">
            <v>122613.97708886705</v>
          </cell>
        </row>
      </sheetData>
      <sheetData sheetId="24">
        <row r="19">
          <cell r="L19">
            <v>6949</v>
          </cell>
        </row>
        <row r="36">
          <cell r="D36">
            <v>58037.049576655554</v>
          </cell>
        </row>
      </sheetData>
      <sheetData sheetId="25">
        <row r="13">
          <cell r="L13">
            <v>6461</v>
          </cell>
        </row>
        <row r="27">
          <cell r="D27">
            <v>112806.65636736697</v>
          </cell>
        </row>
      </sheetData>
      <sheetData sheetId="26">
        <row r="11">
          <cell r="L11">
            <v>4065</v>
          </cell>
        </row>
        <row r="25">
          <cell r="D25">
            <v>47024.120836688715</v>
          </cell>
        </row>
      </sheetData>
      <sheetData sheetId="27">
        <row r="24">
          <cell r="L24">
            <v>10224</v>
          </cell>
        </row>
        <row r="38">
          <cell r="D38">
            <v>151603.6376144742</v>
          </cell>
        </row>
      </sheetData>
      <sheetData sheetId="28">
        <row r="23">
          <cell r="L23">
            <v>8281</v>
          </cell>
        </row>
        <row r="37">
          <cell r="D37">
            <v>99357.860089975671</v>
          </cell>
        </row>
      </sheetData>
      <sheetData sheetId="29">
        <row r="24">
          <cell r="L24">
            <v>11206</v>
          </cell>
        </row>
        <row r="38">
          <cell r="D38">
            <v>148092.11351745395</v>
          </cell>
        </row>
      </sheetData>
      <sheetData sheetId="30">
        <row r="17">
          <cell r="L17">
            <v>5981</v>
          </cell>
        </row>
        <row r="31">
          <cell r="D31">
            <v>70660.147747309005</v>
          </cell>
        </row>
      </sheetData>
      <sheetData sheetId="31">
        <row r="25">
          <cell r="L25">
            <v>9738</v>
          </cell>
        </row>
        <row r="39">
          <cell r="D39">
            <v>155994.92976666553</v>
          </cell>
        </row>
      </sheetData>
      <sheetData sheetId="32">
        <row r="21">
          <cell r="L21">
            <v>8284</v>
          </cell>
        </row>
        <row r="35">
          <cell r="D35">
            <v>119838.12256618439</v>
          </cell>
        </row>
      </sheetData>
      <sheetData sheetId="33">
        <row r="22">
          <cell r="L22">
            <v>4184</v>
          </cell>
        </row>
        <row r="36">
          <cell r="D36">
            <v>56208.593704300314</v>
          </cell>
        </row>
      </sheetData>
      <sheetData sheetId="34">
        <row r="15">
          <cell r="L15">
            <v>6862</v>
          </cell>
        </row>
        <row r="29">
          <cell r="D29">
            <v>104931.54779126264</v>
          </cell>
        </row>
      </sheetData>
      <sheetData sheetId="35">
        <row r="16">
          <cell r="L16">
            <v>7216</v>
          </cell>
        </row>
        <row r="30">
          <cell r="D30">
            <v>80116.180503888725</v>
          </cell>
        </row>
      </sheetData>
      <sheetData sheetId="36">
        <row r="27">
          <cell r="L27">
            <v>11686</v>
          </cell>
        </row>
        <row r="41">
          <cell r="D41">
            <v>146015.49814284523</v>
          </cell>
        </row>
      </sheetData>
      <sheetData sheetId="37">
        <row r="24">
          <cell r="L24">
            <v>12758</v>
          </cell>
        </row>
        <row r="38">
          <cell r="D38">
            <v>191858.99900341919</v>
          </cell>
        </row>
      </sheetData>
      <sheetData sheetId="38">
        <row r="23">
          <cell r="L23">
            <v>13640</v>
          </cell>
        </row>
        <row r="37">
          <cell r="D37">
            <v>199226.91194944241</v>
          </cell>
        </row>
      </sheetData>
      <sheetData sheetId="39">
        <row r="22">
          <cell r="L22">
            <v>15064</v>
          </cell>
        </row>
        <row r="36">
          <cell r="D36">
            <v>232393.45508783657</v>
          </cell>
        </row>
      </sheetData>
      <sheetData sheetId="40">
        <row r="16">
          <cell r="L16">
            <v>9158</v>
          </cell>
        </row>
        <row r="30">
          <cell r="D30">
            <v>132665.07951965107</v>
          </cell>
        </row>
      </sheetData>
      <sheetData sheetId="41">
        <row r="24">
          <cell r="L24">
            <v>13756</v>
          </cell>
        </row>
        <row r="38">
          <cell r="D38">
            <v>212405.08194484527</v>
          </cell>
        </row>
      </sheetData>
      <sheetData sheetId="42">
        <row r="18">
          <cell r="L18">
            <v>10270</v>
          </cell>
        </row>
        <row r="32">
          <cell r="D32">
            <v>115206.66778500759</v>
          </cell>
        </row>
      </sheetData>
      <sheetData sheetId="43">
        <row r="10">
          <cell r="L10">
            <v>4568</v>
          </cell>
        </row>
        <row r="24">
          <cell r="D24">
            <v>71244.413103680039</v>
          </cell>
        </row>
      </sheetData>
      <sheetData sheetId="44">
        <row r="20">
          <cell r="L20">
            <v>12569</v>
          </cell>
        </row>
        <row r="34">
          <cell r="D34">
            <v>160546.80813093804</v>
          </cell>
        </row>
      </sheetData>
      <sheetData sheetId="45">
        <row r="19">
          <cell r="L19">
            <v>10336</v>
          </cell>
        </row>
        <row r="33">
          <cell r="D33">
            <v>146220.89210026554</v>
          </cell>
        </row>
      </sheetData>
      <sheetData sheetId="46">
        <row r="16">
          <cell r="L16">
            <v>9400</v>
          </cell>
        </row>
        <row r="30">
          <cell r="D30">
            <v>144618.01478781918</v>
          </cell>
        </row>
      </sheetData>
      <sheetData sheetId="47">
        <row r="18">
          <cell r="L18">
            <v>10360</v>
          </cell>
        </row>
        <row r="32">
          <cell r="D32">
            <v>161396.12711126849</v>
          </cell>
        </row>
      </sheetData>
      <sheetData sheetId="48">
        <row r="20">
          <cell r="L20">
            <v>10602</v>
          </cell>
        </row>
        <row r="34">
          <cell r="D34">
            <v>159985.48745943652</v>
          </cell>
        </row>
      </sheetData>
      <sheetData sheetId="49">
        <row r="22">
          <cell r="L22">
            <v>13320</v>
          </cell>
        </row>
        <row r="36">
          <cell r="D36">
            <v>206158.03964384823</v>
          </cell>
        </row>
      </sheetData>
      <sheetData sheetId="50">
        <row r="20">
          <cell r="L20">
            <v>10888</v>
          </cell>
        </row>
        <row r="34">
          <cell r="D34">
            <v>161995.93044444337</v>
          </cell>
        </row>
      </sheetData>
      <sheetData sheetId="51">
        <row r="20">
          <cell r="L20">
            <v>7810</v>
          </cell>
        </row>
        <row r="23">
          <cell r="A23">
            <v>44641.482221999999</v>
          </cell>
        </row>
      </sheetData>
      <sheetData sheetId="52">
        <row r="17">
          <cell r="L17">
            <v>7969</v>
          </cell>
        </row>
        <row r="20">
          <cell r="A20">
            <v>43614.415816000008</v>
          </cell>
        </row>
      </sheetData>
      <sheetData sheetId="53">
        <row r="14">
          <cell r="L14">
            <v>4504</v>
          </cell>
        </row>
        <row r="17">
          <cell r="A17">
            <v>25503.245000000003</v>
          </cell>
        </row>
      </sheetData>
      <sheetData sheetId="54">
        <row r="17">
          <cell r="L17">
            <v>6356</v>
          </cell>
        </row>
        <row r="20">
          <cell r="A20">
            <v>30198.879366000001</v>
          </cell>
        </row>
      </sheetData>
      <sheetData sheetId="55">
        <row r="21">
          <cell r="L21">
            <v>8652</v>
          </cell>
        </row>
        <row r="24">
          <cell r="A24">
            <v>45696.038288999989</v>
          </cell>
        </row>
      </sheetData>
      <sheetData sheetId="56">
        <row r="9">
          <cell r="B9">
            <v>-2273.7317527605574</v>
          </cell>
          <cell r="E9">
            <v>-2273.7317527605574</v>
          </cell>
          <cell r="H9">
            <v>-2095.0450860938899</v>
          </cell>
          <cell r="K9">
            <v>-176.24175276055701</v>
          </cell>
          <cell r="N9">
            <v>-1828.3342527605569</v>
          </cell>
        </row>
        <row r="17">
          <cell r="B17">
            <v>-1562.714252760557</v>
          </cell>
          <cell r="E17">
            <v>-1138.3550860938903</v>
          </cell>
          <cell r="H17">
            <v>-176.24175276055701</v>
          </cell>
          <cell r="K17">
            <v>-176.24175276055701</v>
          </cell>
          <cell r="N17">
            <v>-192.07508609389035</v>
          </cell>
        </row>
        <row r="25">
          <cell r="B25">
            <v>-18744.538419427223</v>
          </cell>
          <cell r="E25">
            <v>-1489.6784194272236</v>
          </cell>
          <cell r="H25">
            <v>-1489.6784194272236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BORRADOR"/>
      <sheetName val="BORRADOR NEF"/>
      <sheetName val="SUELD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JMY346_SCAMER"/>
      <sheetName val="KAF077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PIA309_S.Y.L"/>
      <sheetName val="AB206GS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Pro_AA433UY"/>
      <sheetName val="Pro_EFB665"/>
      <sheetName val="Pro_MDU118"/>
      <sheetName val="UNIDADES SIN USO"/>
      <sheetName val="SEGURO"/>
      <sheetName val="PATENTE MUNICIPAL"/>
      <sheetName val="PATENTE PROVINCIAL"/>
      <sheetName val="COMBUSTIBLE"/>
      <sheetName val="UREA"/>
      <sheetName val="$ x KM CARGADORES"/>
      <sheetName val="GASTOS"/>
      <sheetName val="GASTOS TRACTOR"/>
      <sheetName val="GASTOS SEM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0">
          <cell r="L20">
            <v>11827</v>
          </cell>
        </row>
        <row r="23">
          <cell r="C23">
            <v>27.775429102900144</v>
          </cell>
        </row>
        <row r="37">
          <cell r="D37">
            <v>204779.43025270646</v>
          </cell>
        </row>
      </sheetData>
      <sheetData sheetId="8">
        <row r="22">
          <cell r="L22">
            <v>13052</v>
          </cell>
        </row>
        <row r="25">
          <cell r="C25">
            <v>31.382163653079985</v>
          </cell>
        </row>
        <row r="39">
          <cell r="D39">
            <v>327530.62780490634</v>
          </cell>
        </row>
      </sheetData>
      <sheetData sheetId="9">
        <row r="16">
          <cell r="L16">
            <v>8880</v>
          </cell>
        </row>
        <row r="19">
          <cell r="C19">
            <v>30.627252252252251</v>
          </cell>
        </row>
        <row r="33">
          <cell r="D33">
            <v>38982.225743804185</v>
          </cell>
        </row>
      </sheetData>
      <sheetData sheetId="10">
        <row r="23">
          <cell r="L23">
            <v>11396</v>
          </cell>
        </row>
        <row r="26">
          <cell r="C26">
            <v>30.537030537030535</v>
          </cell>
        </row>
        <row r="40">
          <cell r="D40">
            <v>281389.36696990801</v>
          </cell>
        </row>
      </sheetData>
      <sheetData sheetId="11">
        <row r="25">
          <cell r="L25">
            <v>15540</v>
          </cell>
        </row>
        <row r="28">
          <cell r="C28">
            <v>30.35566280566281</v>
          </cell>
        </row>
        <row r="42">
          <cell r="D42">
            <v>447244.17429956567</v>
          </cell>
        </row>
      </sheetData>
      <sheetData sheetId="12">
        <row r="25">
          <cell r="L25">
            <v>7809.308</v>
          </cell>
        </row>
        <row r="28">
          <cell r="C28">
            <v>43.782752581918913</v>
          </cell>
        </row>
        <row r="42">
          <cell r="D42">
            <v>131255.54507390139</v>
          </cell>
        </row>
      </sheetData>
      <sheetData sheetId="13">
        <row r="23">
          <cell r="L23">
            <v>8006</v>
          </cell>
        </row>
        <row r="26">
          <cell r="C26">
            <v>36.747439420434674</v>
          </cell>
        </row>
        <row r="40">
          <cell r="D40">
            <v>43573.785496553697</v>
          </cell>
        </row>
      </sheetData>
      <sheetData sheetId="14">
        <row r="26">
          <cell r="L26">
            <v>11236</v>
          </cell>
        </row>
        <row r="29">
          <cell r="C29">
            <v>28.737985048059805</v>
          </cell>
        </row>
        <row r="43">
          <cell r="D43">
            <v>231533.3729753462</v>
          </cell>
        </row>
      </sheetData>
      <sheetData sheetId="15">
        <row r="20">
          <cell r="L20">
            <v>8607</v>
          </cell>
        </row>
        <row r="23">
          <cell r="C23">
            <v>30.556523759730453</v>
          </cell>
        </row>
        <row r="37">
          <cell r="D37">
            <v>-42230.940282367199</v>
          </cell>
        </row>
      </sheetData>
      <sheetData sheetId="16">
        <row r="19">
          <cell r="L19">
            <v>9758</v>
          </cell>
        </row>
        <row r="22">
          <cell r="C22">
            <v>33.340746054519364</v>
          </cell>
        </row>
        <row r="36">
          <cell r="D36">
            <v>231203.75323571989</v>
          </cell>
        </row>
      </sheetData>
      <sheetData sheetId="17">
        <row r="14">
          <cell r="L14">
            <v>4861</v>
          </cell>
        </row>
        <row r="17">
          <cell r="C17">
            <v>29.82925324007406</v>
          </cell>
        </row>
        <row r="31">
          <cell r="D31">
            <v>-48694.71465714927</v>
          </cell>
        </row>
      </sheetData>
      <sheetData sheetId="18">
        <row r="18">
          <cell r="L18">
            <v>10008</v>
          </cell>
        </row>
        <row r="21">
          <cell r="C21">
            <v>29.006794564348521</v>
          </cell>
        </row>
        <row r="35">
          <cell r="D35">
            <v>166555.59973170247</v>
          </cell>
        </row>
      </sheetData>
      <sheetData sheetId="19">
        <row r="22">
          <cell r="L22">
            <v>7816</v>
          </cell>
        </row>
        <row r="25">
          <cell r="C25">
            <v>28.467246673490276</v>
          </cell>
        </row>
        <row r="39">
          <cell r="D39">
            <v>42224.880940016563</v>
          </cell>
        </row>
      </sheetData>
      <sheetData sheetId="20">
        <row r="10">
          <cell r="L10">
            <v>1340</v>
          </cell>
        </row>
        <row r="27">
          <cell r="D27">
            <v>24148.502005141723</v>
          </cell>
        </row>
      </sheetData>
      <sheetData sheetId="21">
        <row r="24">
          <cell r="L24">
            <v>10239</v>
          </cell>
        </row>
        <row r="27">
          <cell r="C27">
            <v>29.111241332161342</v>
          </cell>
        </row>
        <row r="41">
          <cell r="D41">
            <v>91259.673932104226</v>
          </cell>
        </row>
      </sheetData>
      <sheetData sheetId="22">
        <row r="21">
          <cell r="L21">
            <v>10040</v>
          </cell>
        </row>
        <row r="24">
          <cell r="C24">
            <v>35.86972111553785</v>
          </cell>
        </row>
        <row r="38">
          <cell r="D38">
            <v>77140.432433111768</v>
          </cell>
        </row>
      </sheetData>
      <sheetData sheetId="23">
        <row r="10">
          <cell r="L10">
            <v>2360</v>
          </cell>
        </row>
        <row r="13">
          <cell r="C13">
            <v>17.796610169491526</v>
          </cell>
        </row>
        <row r="27">
          <cell r="D27">
            <v>-8316.7979459858616</v>
          </cell>
        </row>
      </sheetData>
      <sheetData sheetId="24">
        <row r="19">
          <cell r="L19">
            <v>6333</v>
          </cell>
        </row>
        <row r="22">
          <cell r="C22">
            <v>51.069003631770094</v>
          </cell>
        </row>
        <row r="36">
          <cell r="D36">
            <v>-110450.62565742865</v>
          </cell>
        </row>
      </sheetData>
      <sheetData sheetId="25">
        <row r="23">
          <cell r="L23">
            <v>7248</v>
          </cell>
        </row>
        <row r="26">
          <cell r="C26">
            <v>37.782698675496682</v>
          </cell>
        </row>
        <row r="40">
          <cell r="D40">
            <v>109026.91767902519</v>
          </cell>
        </row>
      </sheetData>
      <sheetData sheetId="26">
        <row r="21">
          <cell r="L21">
            <v>9905</v>
          </cell>
        </row>
        <row r="24">
          <cell r="C24">
            <v>39.495204442200908</v>
          </cell>
        </row>
        <row r="38">
          <cell r="D38">
            <v>123911.61329599522</v>
          </cell>
        </row>
      </sheetData>
      <sheetData sheetId="27">
        <row r="19">
          <cell r="L19">
            <v>8081</v>
          </cell>
        </row>
        <row r="22">
          <cell r="C22">
            <v>44.058903601039475</v>
          </cell>
        </row>
        <row r="36">
          <cell r="D36">
            <v>72392.055152707006</v>
          </cell>
        </row>
      </sheetData>
      <sheetData sheetId="28">
        <row r="23">
          <cell r="L23">
            <v>11582</v>
          </cell>
        </row>
        <row r="37">
          <cell r="D37">
            <v>172311.02682390608</v>
          </cell>
        </row>
      </sheetData>
      <sheetData sheetId="29">
        <row r="21">
          <cell r="L21">
            <v>8914</v>
          </cell>
        </row>
        <row r="35">
          <cell r="D35">
            <v>136266.65168390609</v>
          </cell>
        </row>
      </sheetData>
      <sheetData sheetId="30">
        <row r="20">
          <cell r="L20">
            <v>8874</v>
          </cell>
        </row>
        <row r="34">
          <cell r="D34">
            <v>126452.6544259061</v>
          </cell>
        </row>
      </sheetData>
      <sheetData sheetId="31">
        <row r="20">
          <cell r="L20">
            <v>8598</v>
          </cell>
        </row>
        <row r="34">
          <cell r="D34">
            <v>116150.09477790611</v>
          </cell>
        </row>
      </sheetData>
      <sheetData sheetId="32">
        <row r="22">
          <cell r="L22">
            <v>9782</v>
          </cell>
        </row>
        <row r="36">
          <cell r="D36">
            <v>128577.74619390612</v>
          </cell>
        </row>
      </sheetData>
      <sheetData sheetId="33">
        <row r="10">
          <cell r="L10">
            <v>3328</v>
          </cell>
        </row>
        <row r="24">
          <cell r="D24">
            <v>53317.663753906105</v>
          </cell>
        </row>
      </sheetData>
      <sheetData sheetId="34">
        <row r="19">
          <cell r="L19">
            <v>8613</v>
          </cell>
        </row>
        <row r="33">
          <cell r="D33">
            <v>135802.62198390611</v>
          </cell>
        </row>
      </sheetData>
      <sheetData sheetId="35">
        <row r="21">
          <cell r="L21">
            <v>8583</v>
          </cell>
        </row>
        <row r="35">
          <cell r="D35">
            <v>128456.96904390611</v>
          </cell>
        </row>
      </sheetData>
      <sheetData sheetId="36">
        <row r="31">
          <cell r="L31">
            <v>8160</v>
          </cell>
        </row>
        <row r="45">
          <cell r="D45">
            <v>114200.32727723946</v>
          </cell>
        </row>
      </sheetData>
      <sheetData sheetId="37">
        <row r="17">
          <cell r="L17">
            <v>8695</v>
          </cell>
        </row>
        <row r="31">
          <cell r="D31">
            <v>114289.98481390611</v>
          </cell>
        </row>
      </sheetData>
      <sheetData sheetId="38">
        <row r="15">
          <cell r="L15">
            <v>7508</v>
          </cell>
        </row>
        <row r="29">
          <cell r="D29">
            <v>104310.89174590612</v>
          </cell>
        </row>
      </sheetData>
      <sheetData sheetId="39">
        <row r="23">
          <cell r="L23">
            <v>9473</v>
          </cell>
        </row>
        <row r="37">
          <cell r="D37">
            <v>132293.09882190611</v>
          </cell>
        </row>
      </sheetData>
      <sheetData sheetId="40">
        <row r="25">
          <cell r="L25">
            <v>15728</v>
          </cell>
        </row>
        <row r="39">
          <cell r="D39">
            <v>255553.13355390611</v>
          </cell>
        </row>
      </sheetData>
      <sheetData sheetId="41">
        <row r="20">
          <cell r="L20">
            <v>8952</v>
          </cell>
        </row>
        <row r="34">
          <cell r="D34">
            <v>144666.70077390614</v>
          </cell>
        </row>
      </sheetData>
      <sheetData sheetId="42">
        <row r="21">
          <cell r="L21">
            <v>11532</v>
          </cell>
        </row>
        <row r="35">
          <cell r="D35">
            <v>154353.32314390611</v>
          </cell>
        </row>
      </sheetData>
      <sheetData sheetId="43">
        <row r="24">
          <cell r="L24">
            <v>13084</v>
          </cell>
        </row>
        <row r="38">
          <cell r="D38">
            <v>205934.89210723949</v>
          </cell>
        </row>
      </sheetData>
      <sheetData sheetId="44">
        <row r="24">
          <cell r="L24">
            <v>14314</v>
          </cell>
        </row>
        <row r="38">
          <cell r="D38">
            <v>225998.03979390615</v>
          </cell>
        </row>
      </sheetData>
      <sheetData sheetId="45">
        <row r="20">
          <cell r="L20">
            <v>10904</v>
          </cell>
        </row>
        <row r="34">
          <cell r="D34">
            <v>169540.27432390611</v>
          </cell>
        </row>
      </sheetData>
      <sheetData sheetId="46">
        <row r="23">
          <cell r="L23">
            <v>11914</v>
          </cell>
        </row>
        <row r="37">
          <cell r="D37">
            <v>193027.93044390611</v>
          </cell>
        </row>
      </sheetData>
      <sheetData sheetId="47">
        <row r="19">
          <cell r="L19">
            <v>9770</v>
          </cell>
        </row>
        <row r="33">
          <cell r="D33">
            <v>102013.69899723942</v>
          </cell>
        </row>
      </sheetData>
      <sheetData sheetId="48">
        <row r="22">
          <cell r="L22">
            <v>11310</v>
          </cell>
        </row>
        <row r="36">
          <cell r="D36">
            <v>162624.98798390612</v>
          </cell>
        </row>
      </sheetData>
      <sheetData sheetId="49">
        <row r="23">
          <cell r="L23">
            <v>13830</v>
          </cell>
        </row>
        <row r="37">
          <cell r="D37">
            <v>224419.72529390611</v>
          </cell>
        </row>
      </sheetData>
      <sheetData sheetId="50">
        <row r="18">
          <cell r="L18">
            <v>8208</v>
          </cell>
        </row>
        <row r="32">
          <cell r="D32">
            <v>119946.86484390609</v>
          </cell>
        </row>
      </sheetData>
      <sheetData sheetId="51">
        <row r="15">
          <cell r="L15">
            <v>7078</v>
          </cell>
        </row>
        <row r="29">
          <cell r="D29">
            <v>78293.505603906116</v>
          </cell>
        </row>
      </sheetData>
      <sheetData sheetId="52">
        <row r="23">
          <cell r="L23">
            <v>12456</v>
          </cell>
        </row>
        <row r="37">
          <cell r="D37">
            <v>200980.42863390612</v>
          </cell>
        </row>
      </sheetData>
      <sheetData sheetId="53">
        <row r="11">
          <cell r="L11">
            <v>5180</v>
          </cell>
        </row>
        <row r="25">
          <cell r="D25">
            <v>84114.951489999992</v>
          </cell>
        </row>
      </sheetData>
      <sheetData sheetId="54">
        <row r="23">
          <cell r="L23">
            <v>12562</v>
          </cell>
        </row>
        <row r="37">
          <cell r="D37">
            <v>192730.51499723949</v>
          </cell>
        </row>
      </sheetData>
      <sheetData sheetId="55">
        <row r="20">
          <cell r="L20">
            <v>12422</v>
          </cell>
        </row>
        <row r="34">
          <cell r="D34">
            <v>151151.00052390608</v>
          </cell>
        </row>
      </sheetData>
      <sheetData sheetId="56">
        <row r="22">
          <cell r="L22">
            <v>9084</v>
          </cell>
        </row>
        <row r="25">
          <cell r="A25">
            <v>56940.036484000004</v>
          </cell>
        </row>
      </sheetData>
      <sheetData sheetId="57">
        <row r="21">
          <cell r="L21">
            <v>8524</v>
          </cell>
        </row>
        <row r="24">
          <cell r="A24">
            <v>47313.112980999998</v>
          </cell>
        </row>
      </sheetData>
      <sheetData sheetId="58">
        <row r="15">
          <cell r="L15">
            <v>5289</v>
          </cell>
        </row>
        <row r="18">
          <cell r="A18">
            <v>36400.678</v>
          </cell>
        </row>
      </sheetData>
      <sheetData sheetId="59">
        <row r="19">
          <cell r="L19">
            <v>7327</v>
          </cell>
        </row>
        <row r="22">
          <cell r="A22">
            <v>41041.550100000008</v>
          </cell>
        </row>
      </sheetData>
      <sheetData sheetId="60">
        <row r="19">
          <cell r="L19">
            <v>8404</v>
          </cell>
        </row>
        <row r="22">
          <cell r="A22">
            <v>45852.324185999998</v>
          </cell>
        </row>
      </sheetData>
      <sheetData sheetId="61"/>
      <sheetData sheetId="62"/>
      <sheetData sheetId="63"/>
      <sheetData sheetId="64">
        <row r="9">
          <cell r="B9">
            <v>-3660.7517527605569</v>
          </cell>
          <cell r="E9">
            <v>-197.07508609389035</v>
          </cell>
          <cell r="H9">
            <v>-1212.8317527605568</v>
          </cell>
          <cell r="K9">
            <v>-2288.8256644407338</v>
          </cell>
        </row>
        <row r="17">
          <cell r="B17">
            <v>-1233.6650860938903</v>
          </cell>
          <cell r="E17">
            <v>-897.07508609389038</v>
          </cell>
          <cell r="H17">
            <v>-876.24175276055701</v>
          </cell>
          <cell r="K17">
            <v>-897.07508609389038</v>
          </cell>
        </row>
        <row r="25">
          <cell r="B25">
            <v>-5004.7950860938899</v>
          </cell>
          <cell r="E25">
            <v>-529.27508609389042</v>
          </cell>
          <cell r="H25">
            <v>-2749.3350860938904</v>
          </cell>
          <cell r="K25">
            <v>-2749.3350860938904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834_CUGNO G"/>
      <sheetName val="MMN880_CUGNO M"/>
      <sheetName val="JJA110_GENTA"/>
      <sheetName val="AA702TE_GIACONE"/>
      <sheetName val="AB595CA_GUAL"/>
      <sheetName val="HFJ834_GUAL"/>
      <sheetName val="AA562JP_SCAMER"/>
      <sheetName val="JMY346_SCAMER"/>
      <sheetName val="KAF077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PIA309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PROM COMBUSTIBLE"/>
      <sheetName val="COMBUSTIBLE"/>
      <sheetName val="UREA"/>
      <sheetName val="SUELDOS PRUEBA"/>
      <sheetName val="SUELDOS"/>
      <sheetName val="Hoja1"/>
      <sheetName val="$ x KM CARGADORES"/>
      <sheetName val="GASTOS"/>
      <sheetName val="GASTOS TRACTOR"/>
      <sheetName val="GASTOS SEMIRREMOLQUE"/>
    </sheetNames>
    <sheetDataSet>
      <sheetData sheetId="0"/>
      <sheetData sheetId="1"/>
      <sheetData sheetId="2"/>
      <sheetData sheetId="3">
        <row r="12">
          <cell r="L12">
            <v>5324</v>
          </cell>
        </row>
        <row r="15">
          <cell r="C15">
            <v>29.432757325319308</v>
          </cell>
        </row>
        <row r="29">
          <cell r="D29">
            <v>22966.740716731525</v>
          </cell>
        </row>
      </sheetData>
      <sheetData sheetId="4">
        <row r="25">
          <cell r="L25">
            <v>13122</v>
          </cell>
        </row>
        <row r="28">
          <cell r="C28">
            <v>32.418838591678096</v>
          </cell>
        </row>
        <row r="42">
          <cell r="D42">
            <v>430726.79326061008</v>
          </cell>
        </row>
      </sheetData>
      <sheetData sheetId="5">
        <row r="21">
          <cell r="L21">
            <v>10960</v>
          </cell>
        </row>
        <row r="24">
          <cell r="C24">
            <v>29.479927007299274</v>
          </cell>
        </row>
        <row r="38">
          <cell r="D38">
            <v>217082.34592130317</v>
          </cell>
        </row>
      </sheetData>
      <sheetData sheetId="6">
        <row r="19">
          <cell r="L19">
            <v>9760</v>
          </cell>
        </row>
        <row r="22">
          <cell r="C22">
            <v>31.670081967213115</v>
          </cell>
        </row>
        <row r="36">
          <cell r="D36">
            <v>155350.60111728744</v>
          </cell>
        </row>
      </sheetData>
      <sheetData sheetId="7">
        <row r="23">
          <cell r="L23">
            <v>13524</v>
          </cell>
        </row>
        <row r="26">
          <cell r="C26">
            <v>31.355715764566693</v>
          </cell>
        </row>
        <row r="40">
          <cell r="D40">
            <v>318155.06817972084</v>
          </cell>
        </row>
      </sheetData>
      <sheetData sheetId="8">
        <row r="12">
          <cell r="L12">
            <v>5776</v>
          </cell>
        </row>
        <row r="15">
          <cell r="C15">
            <v>33.47160664819944</v>
          </cell>
        </row>
        <row r="29">
          <cell r="D29">
            <v>-130122.16707547921</v>
          </cell>
        </row>
      </sheetData>
      <sheetData sheetId="9">
        <row r="22">
          <cell r="L22">
            <v>8512</v>
          </cell>
        </row>
        <row r="25">
          <cell r="C25">
            <v>42.046287593984964</v>
          </cell>
        </row>
        <row r="39">
          <cell r="D39">
            <v>-1704.6813457854223</v>
          </cell>
        </row>
      </sheetData>
      <sheetData sheetId="10">
        <row r="22">
          <cell r="L22">
            <v>9843</v>
          </cell>
        </row>
        <row r="25">
          <cell r="C25">
            <v>36.723661485319511</v>
          </cell>
        </row>
        <row r="39">
          <cell r="D39">
            <v>151208.40611227747</v>
          </cell>
        </row>
      </sheetData>
      <sheetData sheetId="11">
        <row r="18">
          <cell r="L18">
            <v>9004</v>
          </cell>
        </row>
        <row r="21">
          <cell r="C21">
            <v>32.320413149711243</v>
          </cell>
        </row>
        <row r="35">
          <cell r="D35">
            <v>130978.76265739565</v>
          </cell>
        </row>
      </sheetData>
      <sheetData sheetId="12">
        <row r="15">
          <cell r="L15">
            <v>6286</v>
          </cell>
        </row>
        <row r="18">
          <cell r="C18">
            <v>41.043111676741972</v>
          </cell>
        </row>
        <row r="32">
          <cell r="D32">
            <v>40623.110422091238</v>
          </cell>
        </row>
      </sheetData>
      <sheetData sheetId="13">
        <row r="24">
          <cell r="L24">
            <v>9481</v>
          </cell>
        </row>
        <row r="27">
          <cell r="C27">
            <v>37.23235945575361</v>
          </cell>
        </row>
        <row r="41">
          <cell r="D41">
            <v>157484.46469368227</v>
          </cell>
        </row>
      </sheetData>
      <sheetData sheetId="14">
        <row r="17">
          <cell r="L17">
            <v>8410</v>
          </cell>
        </row>
        <row r="20">
          <cell r="C20">
            <v>29.693293697978596</v>
          </cell>
        </row>
        <row r="34">
          <cell r="D34">
            <v>93687.631783920951</v>
          </cell>
        </row>
      </sheetData>
      <sheetData sheetId="15">
        <row r="20">
          <cell r="L20">
            <v>9249</v>
          </cell>
        </row>
        <row r="23">
          <cell r="C23">
            <v>31.94939993512812</v>
          </cell>
        </row>
        <row r="37">
          <cell r="D37">
            <v>74833.341952253482</v>
          </cell>
        </row>
      </sheetData>
      <sheetData sheetId="16">
        <row r="9">
          <cell r="L9">
            <v>2244</v>
          </cell>
        </row>
        <row r="12">
          <cell r="C12">
            <v>46.791443850267378</v>
          </cell>
        </row>
        <row r="26">
          <cell r="D26">
            <v>-213754.95961570047</v>
          </cell>
        </row>
      </sheetData>
      <sheetData sheetId="17">
        <row r="14">
          <cell r="L14">
            <v>6104</v>
          </cell>
        </row>
        <row r="17">
          <cell r="C17">
            <v>38.473460026212322</v>
          </cell>
        </row>
        <row r="31">
          <cell r="D31">
            <v>49871.055237965746</v>
          </cell>
        </row>
      </sheetData>
      <sheetData sheetId="18">
        <row r="17">
          <cell r="L17">
            <v>9371</v>
          </cell>
        </row>
        <row r="20">
          <cell r="C20">
            <v>28.640934798847507</v>
          </cell>
        </row>
        <row r="34">
          <cell r="D34">
            <v>224419.4305971844</v>
          </cell>
        </row>
      </sheetData>
      <sheetData sheetId="19">
        <row r="28">
          <cell r="L28">
            <v>8537</v>
          </cell>
        </row>
        <row r="31">
          <cell r="C31">
            <v>32.121705517160592</v>
          </cell>
        </row>
        <row r="45">
          <cell r="D45">
            <v>152301.97155872767</v>
          </cell>
        </row>
      </sheetData>
      <sheetData sheetId="20">
        <row r="22">
          <cell r="L22">
            <v>9813</v>
          </cell>
        </row>
        <row r="25">
          <cell r="C25">
            <v>29.654539896056253</v>
          </cell>
        </row>
        <row r="39">
          <cell r="D39">
            <v>178528.81852792547</v>
          </cell>
        </row>
      </sheetData>
      <sheetData sheetId="21">
        <row r="14">
          <cell r="L14">
            <v>5434</v>
          </cell>
        </row>
        <row r="17">
          <cell r="C17">
            <v>40.146485093853514</v>
          </cell>
        </row>
        <row r="31">
          <cell r="D31">
            <v>27695.564992630068</v>
          </cell>
        </row>
      </sheetData>
      <sheetData sheetId="22">
        <row r="25">
          <cell r="L25">
            <v>11564</v>
          </cell>
        </row>
        <row r="28">
          <cell r="C28">
            <v>38.421048080249051</v>
          </cell>
        </row>
        <row r="42">
          <cell r="D42">
            <v>241950.37058676712</v>
          </cell>
        </row>
      </sheetData>
      <sheetData sheetId="23">
        <row r="8">
          <cell r="L8">
            <v>2672</v>
          </cell>
        </row>
        <row r="11">
          <cell r="C11">
            <v>33.086452095808383</v>
          </cell>
        </row>
        <row r="25">
          <cell r="D25">
            <v>-60787.487146179119</v>
          </cell>
        </row>
      </sheetData>
      <sheetData sheetId="24">
        <row r="25">
          <cell r="L25">
            <v>11759</v>
          </cell>
        </row>
        <row r="39">
          <cell r="D39">
            <v>202337.36082329741</v>
          </cell>
        </row>
      </sheetData>
      <sheetData sheetId="25">
        <row r="22">
          <cell r="L22">
            <v>9892.0000299999992</v>
          </cell>
        </row>
        <row r="36">
          <cell r="D36">
            <v>96499.058457127874</v>
          </cell>
        </row>
      </sheetData>
      <sheetData sheetId="26">
        <row r="20">
          <cell r="L20">
            <v>9135</v>
          </cell>
        </row>
        <row r="34">
          <cell r="D34">
            <v>46195.454436166969</v>
          </cell>
        </row>
      </sheetData>
      <sheetData sheetId="27">
        <row r="21">
          <cell r="L21">
            <v>8914</v>
          </cell>
        </row>
        <row r="35">
          <cell r="D35">
            <v>-68455.573677746055</v>
          </cell>
        </row>
      </sheetData>
      <sheetData sheetId="28">
        <row r="23">
          <cell r="L23">
            <v>10068</v>
          </cell>
        </row>
        <row r="37">
          <cell r="D37">
            <v>168155.20514051482</v>
          </cell>
        </row>
      </sheetData>
      <sheetData sheetId="29">
        <row r="19">
          <cell r="L19">
            <v>8900</v>
          </cell>
        </row>
        <row r="33">
          <cell r="D33">
            <v>140153.42488434087</v>
          </cell>
        </row>
      </sheetData>
      <sheetData sheetId="30">
        <row r="20">
          <cell r="L20">
            <v>8681</v>
          </cell>
        </row>
        <row r="34">
          <cell r="D34">
            <v>151832.3463875583</v>
          </cell>
        </row>
      </sheetData>
      <sheetData sheetId="31">
        <row r="22">
          <cell r="L22">
            <v>10358</v>
          </cell>
        </row>
        <row r="36">
          <cell r="D36">
            <v>178523.02037442784</v>
          </cell>
        </row>
      </sheetData>
      <sheetData sheetId="32">
        <row r="26">
          <cell r="L26">
            <v>6480</v>
          </cell>
        </row>
        <row r="40">
          <cell r="D40">
            <v>90513.493699848128</v>
          </cell>
        </row>
      </sheetData>
      <sheetData sheetId="33">
        <row r="16">
          <cell r="L16">
            <v>6610</v>
          </cell>
        </row>
        <row r="30">
          <cell r="D30">
            <v>115640.9</v>
          </cell>
        </row>
      </sheetData>
      <sheetData sheetId="34">
        <row r="15">
          <cell r="L15">
            <v>5561</v>
          </cell>
        </row>
        <row r="29">
          <cell r="D29">
            <v>63609.670466080017</v>
          </cell>
        </row>
      </sheetData>
      <sheetData sheetId="35">
        <row r="22">
          <cell r="L22">
            <v>9308</v>
          </cell>
        </row>
        <row r="36">
          <cell r="D36">
            <v>148729.23480561626</v>
          </cell>
        </row>
      </sheetData>
      <sheetData sheetId="36">
        <row r="20">
          <cell r="L20">
            <v>9816</v>
          </cell>
        </row>
        <row r="34">
          <cell r="D34">
            <v>151089.16185408004</v>
          </cell>
        </row>
      </sheetData>
      <sheetData sheetId="37">
        <row r="24">
          <cell r="L24">
            <v>10924</v>
          </cell>
        </row>
        <row r="38">
          <cell r="D38">
            <v>172121.4598263409</v>
          </cell>
        </row>
      </sheetData>
      <sheetData sheetId="38">
        <row r="22">
          <cell r="L22">
            <v>13330</v>
          </cell>
        </row>
        <row r="36">
          <cell r="D36">
            <v>214893.71837492063</v>
          </cell>
        </row>
      </sheetData>
      <sheetData sheetId="39">
        <row r="24">
          <cell r="L24">
            <v>12462</v>
          </cell>
        </row>
        <row r="38">
          <cell r="D38">
            <v>194520.06196831193</v>
          </cell>
        </row>
      </sheetData>
      <sheetData sheetId="40">
        <row r="18">
          <cell r="L18">
            <v>8816</v>
          </cell>
        </row>
        <row r="32">
          <cell r="D32">
            <v>115016.96127552931</v>
          </cell>
        </row>
      </sheetData>
      <sheetData sheetId="41">
        <row r="16">
          <cell r="L16">
            <v>6908</v>
          </cell>
        </row>
        <row r="30">
          <cell r="D30">
            <v>114456.08605442785</v>
          </cell>
        </row>
      </sheetData>
      <sheetData sheetId="42">
        <row r="20">
          <cell r="L20">
            <v>10358</v>
          </cell>
        </row>
        <row r="34">
          <cell r="D34">
            <v>170342.73505442787</v>
          </cell>
        </row>
      </sheetData>
      <sheetData sheetId="43">
        <row r="15">
          <cell r="L15">
            <v>8140</v>
          </cell>
        </row>
        <row r="29">
          <cell r="D29">
            <v>135159.67380144238</v>
          </cell>
        </row>
      </sheetData>
      <sheetData sheetId="44">
        <row r="13">
          <cell r="L13">
            <v>6676</v>
          </cell>
        </row>
        <row r="27">
          <cell r="D27">
            <v>117793.42232929742</v>
          </cell>
        </row>
      </sheetData>
      <sheetData sheetId="45">
        <row r="17">
          <cell r="L17">
            <v>8520</v>
          </cell>
        </row>
        <row r="31">
          <cell r="D31">
            <v>150751.06868955831</v>
          </cell>
        </row>
      </sheetData>
      <sheetData sheetId="46">
        <row r="22">
          <cell r="L22">
            <v>11782</v>
          </cell>
        </row>
        <row r="36">
          <cell r="D36">
            <v>189882.91715396411</v>
          </cell>
        </row>
      </sheetData>
      <sheetData sheetId="47">
        <row r="21">
          <cell r="L21">
            <v>12412</v>
          </cell>
        </row>
        <row r="35">
          <cell r="D35">
            <v>206123.59821338439</v>
          </cell>
        </row>
      </sheetData>
      <sheetData sheetId="48">
        <row r="11">
          <cell r="L11">
            <v>5308</v>
          </cell>
        </row>
        <row r="25">
          <cell r="D25">
            <v>73085.407750080034</v>
          </cell>
        </row>
      </sheetData>
      <sheetData sheetId="49">
        <row r="21">
          <cell r="L21">
            <v>11636</v>
          </cell>
        </row>
        <row r="35">
          <cell r="D35">
            <v>167875.40920610903</v>
          </cell>
        </row>
      </sheetData>
      <sheetData sheetId="50">
        <row r="22">
          <cell r="L22">
            <v>12304</v>
          </cell>
        </row>
        <row r="36">
          <cell r="D36">
            <v>186568.12168634092</v>
          </cell>
        </row>
      </sheetData>
      <sheetData sheetId="51">
        <row r="25">
          <cell r="L25">
            <v>10002</v>
          </cell>
        </row>
        <row r="28">
          <cell r="A28">
            <v>60914.737764000005</v>
          </cell>
        </row>
      </sheetData>
      <sheetData sheetId="52">
        <row r="21">
          <cell r="L21">
            <v>6976</v>
          </cell>
        </row>
        <row r="24">
          <cell r="A24">
            <v>49822.066303</v>
          </cell>
        </row>
      </sheetData>
      <sheetData sheetId="53">
        <row r="13">
          <cell r="L13">
            <v>4667</v>
          </cell>
        </row>
        <row r="16">
          <cell r="A16">
            <v>60914.737764000005</v>
          </cell>
        </row>
      </sheetData>
      <sheetData sheetId="54">
        <row r="22">
          <cell r="L22">
            <v>10010</v>
          </cell>
        </row>
        <row r="25">
          <cell r="A25">
            <v>61505.811951000003</v>
          </cell>
        </row>
      </sheetData>
      <sheetData sheetId="55">
        <row r="22">
          <cell r="L22">
            <v>12193</v>
          </cell>
        </row>
        <row r="25">
          <cell r="A25">
            <v>73663.747986000002</v>
          </cell>
        </row>
      </sheetData>
      <sheetData sheetId="56">
        <row r="9">
          <cell r="B9">
            <v>-3375.7984194272235</v>
          </cell>
          <cell r="E9">
            <v>-197.07508609389035</v>
          </cell>
          <cell r="H9">
            <v>-1947.3784194272234</v>
          </cell>
          <cell r="K9">
            <v>-1628.6884194272238</v>
          </cell>
        </row>
        <row r="17">
          <cell r="B17">
            <v>-2176.395664440734</v>
          </cell>
          <cell r="E17">
            <v>-1121.2350860938902</v>
          </cell>
          <cell r="H17">
            <v>-197.07508609389035</v>
          </cell>
          <cell r="K17">
            <v>-176.24175276055701</v>
          </cell>
        </row>
        <row r="25">
          <cell r="B25">
            <v>-294.38508609389032</v>
          </cell>
          <cell r="E25">
            <v>-197.07508609389035</v>
          </cell>
          <cell r="H25">
            <v>-1778.8450860938904</v>
          </cell>
          <cell r="K25">
            <v>-1778.8450860938904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JMY346_SCAMER"/>
      <sheetName val="KAF077_SCAMER"/>
      <sheetName val="KOE220_BALDASSARRE"/>
      <sheetName val="KSL959_BALDASSARRE"/>
      <sheetName val="AA996WC_CASTILLO"/>
      <sheetName val="AD864HO_FER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PIA309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AA433UY_LAZZARONE"/>
      <sheetName val="EFB665_LAZZARONE"/>
      <sheetName val="UNIDADES SIN USO"/>
      <sheetName val="SEGURO"/>
      <sheetName val="PATENTE MUNICIPAL"/>
      <sheetName val="PATENTE PROVINCIAL"/>
      <sheetName val="SUELDOS"/>
      <sheetName val="$ x KM Cargadores"/>
      <sheetName val="COMBUSTIBLE"/>
      <sheetName val="UREA"/>
      <sheetName val="GASTOS"/>
      <sheetName val="GASTOS TRACTOR"/>
      <sheetName val="GASTOS SEMI"/>
    </sheetNames>
    <sheetDataSet>
      <sheetData sheetId="0"/>
      <sheetData sheetId="1"/>
      <sheetData sheetId="2"/>
      <sheetData sheetId="3"/>
      <sheetData sheetId="4">
        <row r="22">
          <cell r="L22">
            <v>11228</v>
          </cell>
        </row>
        <row r="25">
          <cell r="C25">
            <v>29.123619522622018</v>
          </cell>
        </row>
        <row r="39">
          <cell r="D39">
            <v>164866.31108075709</v>
          </cell>
        </row>
      </sheetData>
      <sheetData sheetId="5">
        <row r="19">
          <cell r="L19">
            <v>10698</v>
          </cell>
        </row>
        <row r="22">
          <cell r="C22">
            <v>32.791175920732847</v>
          </cell>
        </row>
        <row r="36">
          <cell r="D36">
            <v>211702.66900156604</v>
          </cell>
        </row>
      </sheetData>
      <sheetData sheetId="6">
        <row r="23">
          <cell r="L23">
            <v>12524</v>
          </cell>
        </row>
        <row r="26">
          <cell r="C26">
            <v>27.85052698818269</v>
          </cell>
        </row>
        <row r="40">
          <cell r="D40">
            <v>171991.03437698918</v>
          </cell>
        </row>
      </sheetData>
      <sheetData sheetId="7">
        <row r="22">
          <cell r="L22">
            <v>12668</v>
          </cell>
        </row>
        <row r="25">
          <cell r="C25">
            <v>30.691506157246607</v>
          </cell>
        </row>
        <row r="39">
          <cell r="D39">
            <v>221000.52480481006</v>
          </cell>
        </row>
      </sheetData>
      <sheetData sheetId="8">
        <row r="21">
          <cell r="L21">
            <v>11304</v>
          </cell>
        </row>
        <row r="24">
          <cell r="C24">
            <v>29.617834394904456</v>
          </cell>
        </row>
        <row r="38">
          <cell r="D38">
            <v>334576.89652626571</v>
          </cell>
        </row>
      </sheetData>
      <sheetData sheetId="9">
        <row r="25">
          <cell r="L25">
            <v>12174</v>
          </cell>
        </row>
        <row r="28">
          <cell r="C28">
            <v>37.447100377854447</v>
          </cell>
        </row>
        <row r="42">
          <cell r="D42">
            <v>138849.59397599759</v>
          </cell>
        </row>
      </sheetData>
      <sheetData sheetId="10">
        <row r="27">
          <cell r="L27">
            <v>13157</v>
          </cell>
        </row>
        <row r="30">
          <cell r="C30">
            <v>33.503078209318232</v>
          </cell>
        </row>
        <row r="44">
          <cell r="D44">
            <v>364080.27643651597</v>
          </cell>
        </row>
      </sheetData>
      <sheetData sheetId="11">
        <row r="22">
          <cell r="L22">
            <v>11091</v>
          </cell>
        </row>
        <row r="25">
          <cell r="C25">
            <v>31.41700477864935</v>
          </cell>
        </row>
        <row r="39">
          <cell r="D39">
            <v>128681.08477286028</v>
          </cell>
        </row>
      </sheetData>
      <sheetData sheetId="12">
        <row r="15">
          <cell r="L15">
            <v>8071</v>
          </cell>
        </row>
        <row r="18">
          <cell r="C18">
            <v>40.177549250402677</v>
          </cell>
        </row>
        <row r="32">
          <cell r="D32">
            <v>178332.89883838734</v>
          </cell>
        </row>
      </sheetData>
      <sheetData sheetId="13">
        <row r="18">
          <cell r="L18">
            <v>10335</v>
          </cell>
        </row>
        <row r="21">
          <cell r="C21">
            <v>29.608224479922598</v>
          </cell>
        </row>
        <row r="35">
          <cell r="D35">
            <v>384453.58473745937</v>
          </cell>
        </row>
      </sheetData>
      <sheetData sheetId="14">
        <row r="17">
          <cell r="L17">
            <v>7100</v>
          </cell>
        </row>
        <row r="20">
          <cell r="C20">
            <v>39.012816901408449</v>
          </cell>
        </row>
        <row r="34">
          <cell r="D34">
            <v>-14658.623704857295</v>
          </cell>
        </row>
      </sheetData>
      <sheetData sheetId="15">
        <row r="20">
          <cell r="L20">
            <v>10178</v>
          </cell>
        </row>
        <row r="23">
          <cell r="C23">
            <v>25.830222047553548</v>
          </cell>
        </row>
        <row r="37">
          <cell r="D37">
            <v>180787.05729579076</v>
          </cell>
        </row>
      </sheetData>
      <sheetData sheetId="16">
        <row r="30">
          <cell r="L30">
            <v>12853</v>
          </cell>
        </row>
        <row r="33">
          <cell r="C33">
            <v>31.339298218314791</v>
          </cell>
        </row>
        <row r="47">
          <cell r="D47">
            <v>179904.40030123328</v>
          </cell>
        </row>
      </sheetData>
      <sheetData sheetId="17">
        <row r="6">
          <cell r="L6">
            <v>240</v>
          </cell>
        </row>
        <row r="9">
          <cell r="C9">
            <v>0</v>
          </cell>
        </row>
        <row r="23">
          <cell r="D23">
            <v>-32621.797723440694</v>
          </cell>
        </row>
      </sheetData>
      <sheetData sheetId="18">
        <row r="27">
          <cell r="L27">
            <v>13098</v>
          </cell>
        </row>
        <row r="30">
          <cell r="C30">
            <v>30.867460681020003</v>
          </cell>
        </row>
        <row r="44">
          <cell r="D44">
            <v>180111.63189638712</v>
          </cell>
        </row>
      </sheetData>
      <sheetData sheetId="19">
        <row r="18">
          <cell r="L18">
            <v>10767</v>
          </cell>
        </row>
        <row r="21">
          <cell r="C21">
            <v>30.893006408470324</v>
          </cell>
        </row>
        <row r="35">
          <cell r="D35">
            <v>66878.638157828536</v>
          </cell>
        </row>
      </sheetData>
      <sheetData sheetId="20">
        <row r="26">
          <cell r="L26">
            <v>12551</v>
          </cell>
        </row>
        <row r="29">
          <cell r="C29">
            <v>35.369452633256309</v>
          </cell>
        </row>
        <row r="43">
          <cell r="D43">
            <v>201011.26649363185</v>
          </cell>
        </row>
      </sheetData>
      <sheetData sheetId="21">
        <row r="21">
          <cell r="L21">
            <v>7819</v>
          </cell>
        </row>
        <row r="24">
          <cell r="C24">
            <v>37.780534595216778</v>
          </cell>
        </row>
        <row r="38">
          <cell r="D38">
            <v>-122742.38287571618</v>
          </cell>
        </row>
      </sheetData>
      <sheetData sheetId="22">
        <row r="30">
          <cell r="L30">
            <v>13806</v>
          </cell>
        </row>
        <row r="33">
          <cell r="C33">
            <v>32.976459510357813</v>
          </cell>
        </row>
        <row r="47">
          <cell r="D47">
            <v>246332.95180413342</v>
          </cell>
        </row>
      </sheetData>
      <sheetData sheetId="23">
        <row r="25">
          <cell r="L25">
            <v>11524</v>
          </cell>
        </row>
        <row r="28">
          <cell r="C28">
            <v>39.650815688996879</v>
          </cell>
        </row>
        <row r="42">
          <cell r="D42">
            <v>200452.50658204002</v>
          </cell>
        </row>
      </sheetData>
      <sheetData sheetId="24">
        <row r="13">
          <cell r="L13">
            <v>3993</v>
          </cell>
        </row>
        <row r="16">
          <cell r="C16">
            <v>42.499373904332586</v>
          </cell>
        </row>
        <row r="30">
          <cell r="D30">
            <v>45467.221676345347</v>
          </cell>
        </row>
      </sheetData>
      <sheetData sheetId="25">
        <row r="23">
          <cell r="L23">
            <v>11658</v>
          </cell>
        </row>
        <row r="37">
          <cell r="D37">
            <v>195806.73093933222</v>
          </cell>
        </row>
      </sheetData>
      <sheetData sheetId="26">
        <row r="23">
          <cell r="L23">
            <v>11990</v>
          </cell>
        </row>
        <row r="37">
          <cell r="D37">
            <v>46906.225523645262</v>
          </cell>
        </row>
      </sheetData>
      <sheetData sheetId="27">
        <row r="16">
          <cell r="L16">
            <v>7538</v>
          </cell>
        </row>
        <row r="30">
          <cell r="D30">
            <v>69774.833079158285</v>
          </cell>
        </row>
      </sheetData>
      <sheetData sheetId="28">
        <row r="24">
          <cell r="L24">
            <v>9026</v>
          </cell>
        </row>
        <row r="38">
          <cell r="D38">
            <v>119488.77279101918</v>
          </cell>
        </row>
      </sheetData>
      <sheetData sheetId="29">
        <row r="26">
          <cell r="L26">
            <v>12165</v>
          </cell>
        </row>
        <row r="40">
          <cell r="D40">
            <v>158676.76867712353</v>
          </cell>
        </row>
      </sheetData>
      <sheetData sheetId="30">
        <row r="12">
          <cell r="L12">
            <v>7554</v>
          </cell>
        </row>
        <row r="26">
          <cell r="D26">
            <v>84295.423946619179</v>
          </cell>
        </row>
      </sheetData>
      <sheetData sheetId="31">
        <row r="27">
          <cell r="L27">
            <v>12204</v>
          </cell>
        </row>
        <row r="41">
          <cell r="D41">
            <v>161900.88949618439</v>
          </cell>
        </row>
      </sheetData>
      <sheetData sheetId="32">
        <row r="30">
          <cell r="L30">
            <v>13260</v>
          </cell>
        </row>
        <row r="44">
          <cell r="D44">
            <v>216824.57291460177</v>
          </cell>
        </row>
      </sheetData>
      <sheetData sheetId="33">
        <row r="43">
          <cell r="L43">
            <v>12412</v>
          </cell>
        </row>
        <row r="57">
          <cell r="D57">
            <v>199129.98064450902</v>
          </cell>
        </row>
      </sheetData>
      <sheetData sheetId="34">
        <row r="16">
          <cell r="L16">
            <v>6113</v>
          </cell>
        </row>
        <row r="30">
          <cell r="D30">
            <v>95788.309702549595</v>
          </cell>
        </row>
      </sheetData>
      <sheetData sheetId="35"/>
      <sheetData sheetId="36">
        <row r="8">
          <cell r="L8">
            <v>2275</v>
          </cell>
        </row>
        <row r="22">
          <cell r="D22">
            <v>33774.638085123508</v>
          </cell>
        </row>
      </sheetData>
      <sheetData sheetId="37">
        <row r="24">
          <cell r="L24">
            <v>14550</v>
          </cell>
        </row>
        <row r="38">
          <cell r="D38">
            <v>213800.52029738441</v>
          </cell>
        </row>
      </sheetData>
      <sheetData sheetId="38">
        <row r="21">
          <cell r="L21">
            <v>10474</v>
          </cell>
        </row>
        <row r="35">
          <cell r="D35">
            <v>155027.08085322785</v>
          </cell>
        </row>
      </sheetData>
      <sheetData sheetId="39">
        <row r="25">
          <cell r="L25">
            <v>14838</v>
          </cell>
        </row>
        <row r="39">
          <cell r="D39">
            <v>230105.19603634669</v>
          </cell>
        </row>
      </sheetData>
      <sheetData sheetId="40">
        <row r="16">
          <cell r="L16">
            <v>8280</v>
          </cell>
        </row>
        <row r="30">
          <cell r="D30">
            <v>122420.23852657278</v>
          </cell>
        </row>
      </sheetData>
      <sheetData sheetId="41">
        <row r="23">
          <cell r="L23">
            <v>14060</v>
          </cell>
        </row>
        <row r="37">
          <cell r="D37">
            <v>188334.17968431191</v>
          </cell>
        </row>
      </sheetData>
      <sheetData sheetId="42">
        <row r="16">
          <cell r="L16">
            <v>7160</v>
          </cell>
        </row>
        <row r="30">
          <cell r="D30">
            <v>64712.768417645217</v>
          </cell>
        </row>
      </sheetData>
      <sheetData sheetId="43">
        <row r="25">
          <cell r="L25">
            <v>11760</v>
          </cell>
        </row>
        <row r="39">
          <cell r="D39">
            <v>161705.40119764526</v>
          </cell>
        </row>
      </sheetData>
      <sheetData sheetId="44">
        <row r="22">
          <cell r="L22">
            <v>11130</v>
          </cell>
        </row>
        <row r="36">
          <cell r="D36">
            <v>174521.89042179019</v>
          </cell>
        </row>
      </sheetData>
      <sheetData sheetId="45">
        <row r="20">
          <cell r="L20">
            <v>11502</v>
          </cell>
        </row>
        <row r="34">
          <cell r="D34">
            <v>129404.55221308874</v>
          </cell>
        </row>
      </sheetData>
      <sheetData sheetId="46">
        <row r="19">
          <cell r="L19">
            <v>9248</v>
          </cell>
        </row>
        <row r="33">
          <cell r="D33">
            <v>137610.44946428871</v>
          </cell>
        </row>
      </sheetData>
      <sheetData sheetId="47">
        <row r="17">
          <cell r="L17">
            <v>9452</v>
          </cell>
        </row>
        <row r="31">
          <cell r="D31">
            <v>172530.41159758146</v>
          </cell>
        </row>
      </sheetData>
      <sheetData sheetId="48">
        <row r="22">
          <cell r="L22">
            <v>9804</v>
          </cell>
        </row>
        <row r="36">
          <cell r="D36">
            <v>178003.76673705393</v>
          </cell>
        </row>
      </sheetData>
      <sheetData sheetId="49">
        <row r="13">
          <cell r="L13">
            <v>5916</v>
          </cell>
        </row>
        <row r="27">
          <cell r="D27">
            <v>54147.869916062642</v>
          </cell>
        </row>
      </sheetData>
      <sheetData sheetId="50">
        <row r="21">
          <cell r="L21">
            <v>8078</v>
          </cell>
        </row>
        <row r="35">
          <cell r="D35">
            <v>118987.26655579594</v>
          </cell>
        </row>
      </sheetData>
      <sheetData sheetId="51">
        <row r="22">
          <cell r="L22">
            <v>12336</v>
          </cell>
        </row>
        <row r="36">
          <cell r="D36">
            <v>114268.46923223653</v>
          </cell>
        </row>
      </sheetData>
      <sheetData sheetId="52">
        <row r="29">
          <cell r="L29">
            <v>13255</v>
          </cell>
        </row>
        <row r="32">
          <cell r="A32">
            <v>90199.511340000012</v>
          </cell>
        </row>
      </sheetData>
      <sheetData sheetId="53">
        <row r="11">
          <cell r="L11">
            <v>4375</v>
          </cell>
        </row>
        <row r="14">
          <cell r="A14">
            <v>30497.794495000002</v>
          </cell>
        </row>
      </sheetData>
      <sheetData sheetId="54">
        <row r="15">
          <cell r="L15">
            <v>6385</v>
          </cell>
        </row>
        <row r="18">
          <cell r="A18">
            <v>42898.425999999999</v>
          </cell>
        </row>
      </sheetData>
      <sheetData sheetId="55">
        <row r="26">
          <cell r="L26">
            <v>11746</v>
          </cell>
        </row>
        <row r="29">
          <cell r="A29">
            <v>68714.363055000009</v>
          </cell>
        </row>
      </sheetData>
      <sheetData sheetId="56">
        <row r="30">
          <cell r="L30">
            <v>13310</v>
          </cell>
        </row>
        <row r="33">
          <cell r="A33">
            <v>77866.015439999988</v>
          </cell>
        </row>
      </sheetData>
      <sheetData sheetId="57"/>
      <sheetData sheetId="58"/>
      <sheetData sheetId="59">
        <row r="9">
          <cell r="B9">
            <v>-3465.4184194272239</v>
          </cell>
          <cell r="E9">
            <v>-3368.1084194272235</v>
          </cell>
          <cell r="H9">
            <v>-197.07508609389035</v>
          </cell>
          <cell r="K9">
            <v>-1981.8984194272234</v>
          </cell>
          <cell r="N9">
            <v>-1663.1484194272236</v>
          </cell>
        </row>
        <row r="17">
          <cell r="B17">
            <v>-176.24175276055701</v>
          </cell>
          <cell r="E17">
            <v>-24818.915664440734</v>
          </cell>
          <cell r="H17">
            <v>-1155.7550860938902</v>
          </cell>
          <cell r="K17">
            <v>-197.07508609389035</v>
          </cell>
          <cell r="N17">
            <v>-176.24175276055701</v>
          </cell>
        </row>
        <row r="25">
          <cell r="B25">
            <v>-8727.3150860938895</v>
          </cell>
          <cell r="E25">
            <v>-197.07508609389035</v>
          </cell>
          <cell r="H25">
            <v>-882876.07508609386</v>
          </cell>
          <cell r="K25">
            <v>-1813.3650860938903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PIA309_S.Y.L"/>
      <sheetName val="AA327US_TAMES"/>
      <sheetName val="AB631DS_TRASN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UREA"/>
      <sheetName val="SUELDOS"/>
      <sheetName val="$ x KM CARGADORES"/>
      <sheetName val="GASTOS"/>
      <sheetName val="GASTOS TRACTOR"/>
      <sheetName val="GASTOS SEMI"/>
    </sheetNames>
    <sheetDataSet>
      <sheetData sheetId="0"/>
      <sheetData sheetId="1"/>
      <sheetData sheetId="2"/>
      <sheetData sheetId="3"/>
      <sheetData sheetId="4">
        <row r="18">
          <cell r="L18">
            <v>9622</v>
          </cell>
        </row>
        <row r="21">
          <cell r="C21">
            <v>29.442943255040532</v>
          </cell>
        </row>
        <row r="35">
          <cell r="D35">
            <v>158458.55418351936</v>
          </cell>
        </row>
      </sheetData>
      <sheetData sheetId="5">
        <row r="20">
          <cell r="L20">
            <v>10360</v>
          </cell>
        </row>
        <row r="23">
          <cell r="C23">
            <v>31.399613899613897</v>
          </cell>
        </row>
        <row r="37">
          <cell r="D37">
            <v>273033.38132172206</v>
          </cell>
        </row>
      </sheetData>
      <sheetData sheetId="6">
        <row r="21">
          <cell r="L21">
            <v>8650</v>
          </cell>
        </row>
        <row r="24">
          <cell r="C24">
            <v>28.578150289017344</v>
          </cell>
        </row>
        <row r="38">
          <cell r="D38">
            <v>187720.39569213896</v>
          </cell>
        </row>
      </sheetData>
      <sheetData sheetId="7">
        <row r="19">
          <cell r="L19">
            <v>8166</v>
          </cell>
        </row>
        <row r="22">
          <cell r="C22">
            <v>32.819128092089151</v>
          </cell>
        </row>
        <row r="36">
          <cell r="D36">
            <v>154450.98540706848</v>
          </cell>
        </row>
      </sheetData>
      <sheetData sheetId="8">
        <row r="19">
          <cell r="L19">
            <v>7872</v>
          </cell>
        </row>
        <row r="22">
          <cell r="C22">
            <v>30.322662601626014</v>
          </cell>
        </row>
        <row r="36">
          <cell r="D36">
            <v>328950.65280076413</v>
          </cell>
        </row>
      </sheetData>
      <sheetData sheetId="9">
        <row r="15">
          <cell r="L15">
            <v>5908</v>
          </cell>
        </row>
        <row r="18">
          <cell r="C18">
            <v>33.566689234935673</v>
          </cell>
        </row>
        <row r="32">
          <cell r="D32">
            <v>-533.24378613897716</v>
          </cell>
        </row>
      </sheetData>
      <sheetData sheetId="10">
        <row r="19">
          <cell r="L19">
            <v>9985</v>
          </cell>
        </row>
        <row r="22">
          <cell r="C22">
            <v>32.068202303455188</v>
          </cell>
        </row>
        <row r="36">
          <cell r="D36">
            <v>257368.27325897128</v>
          </cell>
        </row>
      </sheetData>
      <sheetData sheetId="11">
        <row r="23">
          <cell r="L23">
            <v>9129</v>
          </cell>
        </row>
        <row r="26">
          <cell r="C26">
            <v>37.132106473874465</v>
          </cell>
        </row>
        <row r="40">
          <cell r="D40">
            <v>211311.74383674271</v>
          </cell>
        </row>
      </sheetData>
      <sheetData sheetId="12">
        <row r="25">
          <cell r="L25">
            <v>12150</v>
          </cell>
        </row>
        <row r="28">
          <cell r="C28">
            <v>35.461728395061733</v>
          </cell>
        </row>
        <row r="42">
          <cell r="D42">
            <v>66294.279709102353</v>
          </cell>
        </row>
      </sheetData>
      <sheetData sheetId="13">
        <row r="21">
          <cell r="L21">
            <v>11439</v>
          </cell>
        </row>
        <row r="24">
          <cell r="C24">
            <v>28.909869743858728</v>
          </cell>
        </row>
        <row r="38">
          <cell r="D38">
            <v>207657.25211181707</v>
          </cell>
        </row>
      </sheetData>
      <sheetData sheetId="14">
        <row r="25">
          <cell r="L25">
            <v>13168</v>
          </cell>
        </row>
        <row r="28">
          <cell r="C28">
            <v>28.243544957472661</v>
          </cell>
        </row>
        <row r="42">
          <cell r="D42">
            <v>217062.36736996772</v>
          </cell>
        </row>
      </sheetData>
      <sheetData sheetId="15">
        <row r="20">
          <cell r="L20">
            <v>8174</v>
          </cell>
        </row>
        <row r="23">
          <cell r="C23">
            <v>31.294347932468803</v>
          </cell>
        </row>
        <row r="37">
          <cell r="D37">
            <v>97254.848507117829</v>
          </cell>
        </row>
      </sheetData>
      <sheetData sheetId="16">
        <row r="15">
          <cell r="L15">
            <v>4596</v>
          </cell>
        </row>
        <row r="18">
          <cell r="C18">
            <v>37.68494342906876</v>
          </cell>
        </row>
        <row r="32">
          <cell r="D32">
            <v>-6246.3559951046336</v>
          </cell>
        </row>
      </sheetData>
      <sheetData sheetId="17">
        <row r="6">
          <cell r="L6">
            <v>974</v>
          </cell>
        </row>
        <row r="9">
          <cell r="C9">
            <v>0</v>
          </cell>
        </row>
        <row r="23">
          <cell r="D23">
            <v>-92577.300453051881</v>
          </cell>
        </row>
      </sheetData>
      <sheetData sheetId="18">
        <row r="24">
          <cell r="L24">
            <v>11889</v>
          </cell>
        </row>
        <row r="27">
          <cell r="C27">
            <v>31.901253259315332</v>
          </cell>
        </row>
        <row r="41">
          <cell r="D41">
            <v>215784.36558831582</v>
          </cell>
        </row>
      </sheetData>
      <sheetData sheetId="19">
        <row r="16">
          <cell r="L16">
            <v>7438</v>
          </cell>
        </row>
        <row r="19">
          <cell r="C19">
            <v>27.573406829792951</v>
          </cell>
        </row>
        <row r="33">
          <cell r="D33">
            <v>125140.26205799625</v>
          </cell>
        </row>
      </sheetData>
      <sheetData sheetId="20">
        <row r="26">
          <cell r="L26">
            <v>9601</v>
          </cell>
        </row>
        <row r="29">
          <cell r="C29">
            <v>31.280699927090932</v>
          </cell>
        </row>
        <row r="43">
          <cell r="D43">
            <v>80542.515767194505</v>
          </cell>
        </row>
      </sheetData>
      <sheetData sheetId="21">
        <row r="15">
          <cell r="L15">
            <v>5644</v>
          </cell>
        </row>
        <row r="18">
          <cell r="C18">
            <v>40.45924875974486</v>
          </cell>
        </row>
        <row r="32">
          <cell r="D32">
            <v>-93517.984384034105</v>
          </cell>
        </row>
      </sheetData>
      <sheetData sheetId="22">
        <row r="23">
          <cell r="L23">
            <v>9761</v>
          </cell>
        </row>
        <row r="26">
          <cell r="C26">
            <v>40.503022231328757</v>
          </cell>
        </row>
        <row r="40">
          <cell r="D40">
            <v>46551.89621345693</v>
          </cell>
        </row>
      </sheetData>
      <sheetData sheetId="23">
        <row r="22">
          <cell r="L22">
            <v>8727</v>
          </cell>
        </row>
        <row r="25">
          <cell r="C25">
            <v>38.003437607425234</v>
          </cell>
        </row>
        <row r="39">
          <cell r="D39">
            <v>-22261.345576690277</v>
          </cell>
        </row>
      </sheetData>
      <sheetData sheetId="24">
        <row r="23">
          <cell r="L23">
            <v>11118</v>
          </cell>
        </row>
        <row r="26">
          <cell r="C26">
            <v>32.12808059003418</v>
          </cell>
        </row>
        <row r="40">
          <cell r="D40">
            <v>131824.79883819292</v>
          </cell>
        </row>
      </sheetData>
      <sheetData sheetId="25">
        <row r="22">
          <cell r="L22">
            <v>11730</v>
          </cell>
        </row>
        <row r="36">
          <cell r="D36">
            <v>196502.68963390612</v>
          </cell>
        </row>
      </sheetData>
      <sheetData sheetId="26">
        <row r="24">
          <cell r="L24">
            <v>10471</v>
          </cell>
        </row>
        <row r="38">
          <cell r="D38">
            <v>171947.12598660175</v>
          </cell>
        </row>
      </sheetData>
      <sheetData sheetId="27">
        <row r="20">
          <cell r="L20">
            <v>9173</v>
          </cell>
        </row>
        <row r="34">
          <cell r="D34">
            <v>179336.24886677568</v>
          </cell>
        </row>
      </sheetData>
      <sheetData sheetId="28">
        <row r="16">
          <cell r="L16">
            <v>8064</v>
          </cell>
        </row>
        <row r="30">
          <cell r="D30">
            <v>148790.49651286262</v>
          </cell>
        </row>
      </sheetData>
      <sheetData sheetId="29">
        <row r="25">
          <cell r="L25">
            <v>11493</v>
          </cell>
        </row>
        <row r="39">
          <cell r="D39">
            <v>208788.41270242789</v>
          </cell>
        </row>
      </sheetData>
      <sheetData sheetId="30">
        <row r="23">
          <cell r="L23">
            <v>10990</v>
          </cell>
        </row>
        <row r="37">
          <cell r="D37">
            <v>180699.20939477568</v>
          </cell>
        </row>
      </sheetData>
      <sheetData sheetId="31">
        <row r="24">
          <cell r="L24">
            <v>10484</v>
          </cell>
        </row>
        <row r="38">
          <cell r="D38">
            <v>170793.73090077567</v>
          </cell>
        </row>
      </sheetData>
      <sheetData sheetId="32">
        <row r="22">
          <cell r="L22">
            <v>11356</v>
          </cell>
        </row>
        <row r="36">
          <cell r="D36">
            <v>183463.90425921042</v>
          </cell>
        </row>
      </sheetData>
      <sheetData sheetId="33">
        <row r="44">
          <cell r="L44">
            <v>11520</v>
          </cell>
        </row>
        <row r="58">
          <cell r="D58">
            <v>220756.27563289163</v>
          </cell>
        </row>
      </sheetData>
      <sheetData sheetId="34">
        <row r="20">
          <cell r="L20">
            <v>12209</v>
          </cell>
        </row>
        <row r="34">
          <cell r="D34">
            <v>199738.2256027757</v>
          </cell>
        </row>
      </sheetData>
      <sheetData sheetId="35">
        <row r="19">
          <cell r="L19">
            <v>7264</v>
          </cell>
        </row>
        <row r="33">
          <cell r="D33">
            <v>164592.43570077571</v>
          </cell>
        </row>
      </sheetData>
      <sheetData sheetId="36">
        <row r="19">
          <cell r="L19">
            <v>9424</v>
          </cell>
        </row>
        <row r="33">
          <cell r="D33">
            <v>171513.72663121048</v>
          </cell>
        </row>
      </sheetData>
      <sheetData sheetId="37">
        <row r="18">
          <cell r="L18">
            <v>8880</v>
          </cell>
        </row>
        <row r="32">
          <cell r="D32">
            <v>156523.030090138</v>
          </cell>
        </row>
      </sheetData>
      <sheetData sheetId="38">
        <row r="21">
          <cell r="L21">
            <v>9936</v>
          </cell>
        </row>
        <row r="35">
          <cell r="D35">
            <v>93173.181874572794</v>
          </cell>
        </row>
      </sheetData>
      <sheetData sheetId="39">
        <row r="18">
          <cell r="L18">
            <v>9076</v>
          </cell>
        </row>
        <row r="32">
          <cell r="D32">
            <v>188754.66951152933</v>
          </cell>
        </row>
      </sheetData>
      <sheetData sheetId="40">
        <row r="18">
          <cell r="L18">
            <v>9086</v>
          </cell>
        </row>
        <row r="32">
          <cell r="D32">
            <v>155409.43083268873</v>
          </cell>
        </row>
      </sheetData>
      <sheetData sheetId="41">
        <row r="20">
          <cell r="L20">
            <v>8242</v>
          </cell>
        </row>
        <row r="34">
          <cell r="D34">
            <v>125286.42601016699</v>
          </cell>
        </row>
      </sheetData>
      <sheetData sheetId="42">
        <row r="17">
          <cell r="L17">
            <v>9093</v>
          </cell>
        </row>
        <row r="31">
          <cell r="D31">
            <v>186034.60748083366</v>
          </cell>
        </row>
      </sheetData>
      <sheetData sheetId="43">
        <row r="18">
          <cell r="L18">
            <v>9526</v>
          </cell>
        </row>
        <row r="32">
          <cell r="D32">
            <v>152898.16625703656</v>
          </cell>
        </row>
      </sheetData>
      <sheetData sheetId="44">
        <row r="20">
          <cell r="L20">
            <v>10268</v>
          </cell>
        </row>
        <row r="34">
          <cell r="D34">
            <v>194825.21472373218</v>
          </cell>
        </row>
      </sheetData>
      <sheetData sheetId="45">
        <row r="19">
          <cell r="L19">
            <v>11210</v>
          </cell>
        </row>
        <row r="33">
          <cell r="D33">
            <v>185925.67859361626</v>
          </cell>
        </row>
      </sheetData>
      <sheetData sheetId="46">
        <row r="13">
          <cell r="L13">
            <v>5180</v>
          </cell>
        </row>
        <row r="27">
          <cell r="D27">
            <v>82658.512177819139</v>
          </cell>
        </row>
      </sheetData>
      <sheetData sheetId="47">
        <row r="14">
          <cell r="L14">
            <v>7232</v>
          </cell>
        </row>
        <row r="28">
          <cell r="D28">
            <v>131352.35004973222</v>
          </cell>
        </row>
      </sheetData>
      <sheetData sheetId="48">
        <row r="22">
          <cell r="L22">
            <v>9852</v>
          </cell>
        </row>
        <row r="36">
          <cell r="D36">
            <v>155959.18971350032</v>
          </cell>
        </row>
      </sheetData>
      <sheetData sheetId="49">
        <row r="19">
          <cell r="L19">
            <v>8024</v>
          </cell>
        </row>
        <row r="33">
          <cell r="D33">
            <v>121096.69003555829</v>
          </cell>
        </row>
      </sheetData>
      <sheetData sheetId="50">
        <row r="24">
          <cell r="L24">
            <v>11758</v>
          </cell>
        </row>
        <row r="27">
          <cell r="A27">
            <v>90303.125995000009</v>
          </cell>
        </row>
      </sheetData>
      <sheetData sheetId="51">
        <row r="27">
          <cell r="L27">
            <v>12660</v>
          </cell>
        </row>
        <row r="30">
          <cell r="A30">
            <v>91772.197318000006</v>
          </cell>
        </row>
      </sheetData>
      <sheetData sheetId="52">
        <row r="14">
          <cell r="L14">
            <v>6538</v>
          </cell>
        </row>
        <row r="17">
          <cell r="A17">
            <v>45195.546999999999</v>
          </cell>
        </row>
      </sheetData>
      <sheetData sheetId="53">
        <row r="21">
          <cell r="L21">
            <v>9546</v>
          </cell>
        </row>
        <row r="24">
          <cell r="A24">
            <v>67183.696960000001</v>
          </cell>
        </row>
      </sheetData>
      <sheetData sheetId="54">
        <row r="23">
          <cell r="L23">
            <v>9670</v>
          </cell>
        </row>
        <row r="26">
          <cell r="A26">
            <v>62342.677022000003</v>
          </cell>
        </row>
      </sheetData>
      <sheetData sheetId="55">
        <row r="9">
          <cell r="B9">
            <v>-3558.1384194272237</v>
          </cell>
          <cell r="E9">
            <v>-3134.9117527605572</v>
          </cell>
          <cell r="H9">
            <v>-197.07508609389035</v>
          </cell>
          <cell r="K9">
            <v>-2171.9284194272236</v>
          </cell>
          <cell r="N9">
            <v>-1853.1784194272236</v>
          </cell>
        </row>
        <row r="17">
          <cell r="B17">
            <v>-83431.367499999993</v>
          </cell>
          <cell r="E17">
            <v>-188.74175276055701</v>
          </cell>
          <cell r="H17">
            <v>-2400.9456644407337</v>
          </cell>
          <cell r="K17">
            <v>-1345.7850860938904</v>
          </cell>
          <cell r="N17">
            <v>-197.07508609389035</v>
          </cell>
        </row>
        <row r="25">
          <cell r="B25">
            <v>-176.24175276055701</v>
          </cell>
          <cell r="E25">
            <v>-197.07508609389035</v>
          </cell>
          <cell r="H25">
            <v>-919629.07508609386</v>
          </cell>
          <cell r="K25">
            <v>-2003.3950860938903</v>
          </cell>
          <cell r="N25">
            <v>-2003.3950860938903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38_CUGNO M"/>
      <sheetName val="JJA110_GENTA"/>
      <sheetName val="AA702TE_GIACONE"/>
      <sheetName val="AB595CA_GUAL"/>
      <sheetName val="HFJ834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PIA309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UREA"/>
      <sheetName val="SUELDOS"/>
      <sheetName val="$ x KM Cargadores"/>
      <sheetName val="GASTOS"/>
      <sheetName val="GASTOS TRACTOR"/>
      <sheetName val="GASTOS SEMI"/>
      <sheetName val="R2"/>
      <sheetName val="PN 2"/>
      <sheetName val="Hoja1"/>
    </sheetNames>
    <sheetDataSet>
      <sheetData sheetId="0"/>
      <sheetData sheetId="1"/>
      <sheetData sheetId="2"/>
      <sheetData sheetId="3"/>
      <sheetData sheetId="4">
        <row r="16">
          <cell r="L16">
            <v>8347</v>
          </cell>
        </row>
        <row r="19">
          <cell r="C19">
            <v>29.459686114771777</v>
          </cell>
        </row>
        <row r="33">
          <cell r="D33">
            <v>101443.16874894436</v>
          </cell>
        </row>
      </sheetData>
      <sheetData sheetId="5">
        <row r="16">
          <cell r="L16">
            <v>7872</v>
          </cell>
        </row>
        <row r="19">
          <cell r="C19">
            <v>28.385505589430892</v>
          </cell>
        </row>
        <row r="33">
          <cell r="D33">
            <v>298788.8527743608</v>
          </cell>
        </row>
      </sheetData>
      <sheetData sheetId="6">
        <row r="15">
          <cell r="L15">
            <v>4972</v>
          </cell>
        </row>
        <row r="18">
          <cell r="C18">
            <v>33.930530973451326</v>
          </cell>
        </row>
        <row r="32">
          <cell r="D32">
            <v>-15580.232746916503</v>
          </cell>
        </row>
      </sheetData>
      <sheetData sheetId="7">
        <row r="14">
          <cell r="L14">
            <v>6154</v>
          </cell>
        </row>
        <row r="17">
          <cell r="C17">
            <v>27.772050698732532</v>
          </cell>
        </row>
        <row r="31">
          <cell r="D31">
            <v>125659.94567114659</v>
          </cell>
        </row>
      </sheetData>
      <sheetData sheetId="8">
        <row r="14">
          <cell r="L14">
            <v>7400</v>
          </cell>
        </row>
        <row r="17">
          <cell r="C17">
            <v>31.189189189189186</v>
          </cell>
        </row>
        <row r="31">
          <cell r="D31">
            <v>200358.73219671368</v>
          </cell>
        </row>
      </sheetData>
      <sheetData sheetId="9">
        <row r="15">
          <cell r="L15">
            <v>7160</v>
          </cell>
        </row>
        <row r="18">
          <cell r="C18">
            <v>36.817178770949724</v>
          </cell>
        </row>
        <row r="32">
          <cell r="D32">
            <v>127397.36058370641</v>
          </cell>
        </row>
      </sheetData>
      <sheetData sheetId="10">
        <row r="25">
          <cell r="L25">
            <v>11140</v>
          </cell>
        </row>
        <row r="28">
          <cell r="C28">
            <v>33.575134649910233</v>
          </cell>
        </row>
        <row r="42">
          <cell r="D42">
            <v>350433.44092995115</v>
          </cell>
        </row>
      </sheetData>
      <sheetData sheetId="11">
        <row r="28">
          <cell r="L28">
            <v>8628</v>
          </cell>
        </row>
        <row r="31">
          <cell r="C31">
            <v>25.97357440890125</v>
          </cell>
        </row>
        <row r="45">
          <cell r="D45">
            <v>226519.07704297837</v>
          </cell>
        </row>
      </sheetData>
      <sheetData sheetId="12">
        <row r="19">
          <cell r="L19">
            <v>9564</v>
          </cell>
        </row>
        <row r="22">
          <cell r="C22">
            <v>29.022271016311169</v>
          </cell>
        </row>
        <row r="36">
          <cell r="D36">
            <v>163752.56510194927</v>
          </cell>
        </row>
      </sheetData>
      <sheetData sheetId="13">
        <row r="24">
          <cell r="L24">
            <v>9922</v>
          </cell>
        </row>
        <row r="27">
          <cell r="C27">
            <v>31.46543035678291</v>
          </cell>
        </row>
        <row r="41">
          <cell r="D41">
            <v>-197.1226480427722</v>
          </cell>
        </row>
      </sheetData>
      <sheetData sheetId="14">
        <row r="14">
          <cell r="L14">
            <v>6753</v>
          </cell>
        </row>
        <row r="17">
          <cell r="C17">
            <v>28.458907152376721</v>
          </cell>
        </row>
        <row r="31">
          <cell r="D31">
            <v>59030.552188771049</v>
          </cell>
        </row>
      </sheetData>
      <sheetData sheetId="15">
        <row r="15">
          <cell r="L15">
            <v>6160</v>
          </cell>
        </row>
        <row r="18">
          <cell r="C18">
            <v>31.881931818181819</v>
          </cell>
        </row>
        <row r="32">
          <cell r="D32">
            <v>121092.71532535777</v>
          </cell>
        </row>
      </sheetData>
      <sheetData sheetId="16">
        <row r="19">
          <cell r="L19">
            <v>8425</v>
          </cell>
        </row>
        <row r="22">
          <cell r="C22">
            <v>32.866943620178041</v>
          </cell>
        </row>
        <row r="36">
          <cell r="D36">
            <v>69807.41046218836</v>
          </cell>
        </row>
      </sheetData>
      <sheetData sheetId="17">
        <row r="10">
          <cell r="L10">
            <v>4020</v>
          </cell>
        </row>
        <row r="13">
          <cell r="C13">
            <v>36.442786069651739</v>
          </cell>
        </row>
        <row r="27">
          <cell r="D27">
            <v>-22131.13423558278</v>
          </cell>
        </row>
      </sheetData>
      <sheetData sheetId="18">
        <row r="20">
          <cell r="L20">
            <v>7000</v>
          </cell>
        </row>
        <row r="23">
          <cell r="C23">
            <v>37.299142857142861</v>
          </cell>
        </row>
        <row r="37">
          <cell r="D37">
            <v>-11411.353881738221</v>
          </cell>
        </row>
      </sheetData>
      <sheetData sheetId="19">
        <row r="13">
          <cell r="L13">
            <v>5964</v>
          </cell>
        </row>
        <row r="16">
          <cell r="C16">
            <v>32.57880617035547</v>
          </cell>
        </row>
        <row r="30">
          <cell r="D30">
            <v>93788.919480337514</v>
          </cell>
        </row>
      </sheetData>
      <sheetData sheetId="20">
        <row r="24">
          <cell r="L24">
            <v>8783</v>
          </cell>
        </row>
        <row r="27">
          <cell r="C27">
            <v>36.172150745758849</v>
          </cell>
        </row>
        <row r="41">
          <cell r="D41">
            <v>33328.674004156463</v>
          </cell>
        </row>
      </sheetData>
      <sheetData sheetId="21">
        <row r="19">
          <cell r="L19">
            <v>9280</v>
          </cell>
        </row>
        <row r="22">
          <cell r="C22">
            <v>35.977155172413795</v>
          </cell>
        </row>
        <row r="36">
          <cell r="D36">
            <v>210186.04474454932</v>
          </cell>
        </row>
      </sheetData>
      <sheetData sheetId="22">
        <row r="13">
          <cell r="L13">
            <v>5747</v>
          </cell>
        </row>
        <row r="16">
          <cell r="C16">
            <v>35.31512093266052</v>
          </cell>
        </row>
        <row r="30">
          <cell r="D30">
            <v>125301.1884076689</v>
          </cell>
        </row>
      </sheetData>
      <sheetData sheetId="23">
        <row r="14">
          <cell r="L14">
            <v>6710</v>
          </cell>
        </row>
        <row r="17">
          <cell r="C17">
            <v>38.554396423248882</v>
          </cell>
        </row>
        <row r="31">
          <cell r="D31">
            <v>67654.267754564324</v>
          </cell>
        </row>
      </sheetData>
      <sheetData sheetId="24">
        <row r="18">
          <cell r="L18">
            <v>6741</v>
          </cell>
        </row>
        <row r="21">
          <cell r="C21">
            <v>41.914849428868123</v>
          </cell>
        </row>
        <row r="35">
          <cell r="D35">
            <v>10912.26633834299</v>
          </cell>
        </row>
      </sheetData>
      <sheetData sheetId="25">
        <row r="20">
          <cell r="L20">
            <v>9193</v>
          </cell>
        </row>
        <row r="34">
          <cell r="D34">
            <v>175578.82880133222</v>
          </cell>
        </row>
      </sheetData>
      <sheetData sheetId="26">
        <row r="22">
          <cell r="L22">
            <v>9682</v>
          </cell>
        </row>
        <row r="36">
          <cell r="D36">
            <v>162778.43330256699</v>
          </cell>
        </row>
      </sheetData>
      <sheetData sheetId="27">
        <row r="15">
          <cell r="L15">
            <v>7544</v>
          </cell>
        </row>
        <row r="29">
          <cell r="D29">
            <v>138009.61497470611</v>
          </cell>
        </row>
      </sheetData>
      <sheetData sheetId="28">
        <row r="20">
          <cell r="L20">
            <v>8531</v>
          </cell>
        </row>
        <row r="34">
          <cell r="D34">
            <v>121990.19791162788</v>
          </cell>
        </row>
      </sheetData>
      <sheetData sheetId="29">
        <row r="13">
          <cell r="L13">
            <v>6057</v>
          </cell>
        </row>
        <row r="27">
          <cell r="D27">
            <v>74972.681388219149</v>
          </cell>
        </row>
      </sheetData>
      <sheetData sheetId="30">
        <row r="18">
          <cell r="L18">
            <v>9245</v>
          </cell>
        </row>
        <row r="32">
          <cell r="D32">
            <v>146844.94475616698</v>
          </cell>
        </row>
      </sheetData>
      <sheetData sheetId="31">
        <row r="17">
          <cell r="L17">
            <v>6838</v>
          </cell>
        </row>
        <row r="31">
          <cell r="D31">
            <v>138083.66546968001</v>
          </cell>
        </row>
      </sheetData>
      <sheetData sheetId="32">
        <row r="23">
          <cell r="L23">
            <v>10362</v>
          </cell>
        </row>
        <row r="37">
          <cell r="D37">
            <v>185953.10621117568</v>
          </cell>
        </row>
      </sheetData>
      <sheetData sheetId="33">
        <row r="34">
          <cell r="L34">
            <v>8070</v>
          </cell>
        </row>
        <row r="48">
          <cell r="D48">
            <v>120177.86045602204</v>
          </cell>
        </row>
      </sheetData>
      <sheetData sheetId="34">
        <row r="14">
          <cell r="L14">
            <v>6202</v>
          </cell>
        </row>
        <row r="28">
          <cell r="D28">
            <v>91092.302094393075</v>
          </cell>
        </row>
      </sheetData>
      <sheetData sheetId="35">
        <row r="16">
          <cell r="L16">
            <v>9436</v>
          </cell>
        </row>
        <row r="30">
          <cell r="D30">
            <v>158660.26135354093</v>
          </cell>
        </row>
      </sheetData>
      <sheetData sheetId="36">
        <row r="20">
          <cell r="L20">
            <v>10656</v>
          </cell>
        </row>
        <row r="34">
          <cell r="D34">
            <v>211838.77464928007</v>
          </cell>
        </row>
      </sheetData>
      <sheetData sheetId="37">
        <row r="17">
          <cell r="L17">
            <v>9862</v>
          </cell>
        </row>
        <row r="31">
          <cell r="D31">
            <v>200941.76351827712</v>
          </cell>
        </row>
      </sheetData>
      <sheetData sheetId="38">
        <row r="15">
          <cell r="L15">
            <v>7400</v>
          </cell>
        </row>
        <row r="29">
          <cell r="D29">
            <v>123278.61619013798</v>
          </cell>
        </row>
      </sheetData>
      <sheetData sheetId="39">
        <row r="18">
          <cell r="L18">
            <v>8134</v>
          </cell>
        </row>
        <row r="32">
          <cell r="D32">
            <v>87981.096921459713</v>
          </cell>
        </row>
      </sheetData>
      <sheetData sheetId="40">
        <row r="17">
          <cell r="L17">
            <v>8612</v>
          </cell>
        </row>
        <row r="31">
          <cell r="D31">
            <v>165543.41600769744</v>
          </cell>
        </row>
      </sheetData>
      <sheetData sheetId="41">
        <row r="15">
          <cell r="L15">
            <v>6926</v>
          </cell>
        </row>
        <row r="29">
          <cell r="D29">
            <v>103674.92599632349</v>
          </cell>
        </row>
      </sheetData>
      <sheetData sheetId="42">
        <row r="19">
          <cell r="L19">
            <v>7657</v>
          </cell>
        </row>
        <row r="33">
          <cell r="D33">
            <v>96621.213087494485</v>
          </cell>
        </row>
      </sheetData>
      <sheetData sheetId="43">
        <row r="15">
          <cell r="L15">
            <v>6716</v>
          </cell>
        </row>
        <row r="29">
          <cell r="D29">
            <v>144410.47506910612</v>
          </cell>
        </row>
      </sheetData>
      <sheetData sheetId="44">
        <row r="17">
          <cell r="L17">
            <v>7944</v>
          </cell>
        </row>
        <row r="31">
          <cell r="D31">
            <v>142436.11761635827</v>
          </cell>
        </row>
      </sheetData>
      <sheetData sheetId="45">
        <row r="16">
          <cell r="L16">
            <v>8140</v>
          </cell>
        </row>
        <row r="30">
          <cell r="D30">
            <v>167881.34684509455</v>
          </cell>
        </row>
      </sheetData>
      <sheetData sheetId="46">
        <row r="11">
          <cell r="L11">
            <v>5180</v>
          </cell>
        </row>
        <row r="25">
          <cell r="D25">
            <v>31940.268278601783</v>
          </cell>
        </row>
      </sheetData>
      <sheetData sheetId="47">
        <row r="10">
          <cell r="L10">
            <v>3840</v>
          </cell>
        </row>
        <row r="24">
          <cell r="D24">
            <v>70012.293140166978</v>
          </cell>
        </row>
      </sheetData>
      <sheetData sheetId="48">
        <row r="15">
          <cell r="L15">
            <v>6408</v>
          </cell>
        </row>
        <row r="29">
          <cell r="D29">
            <v>120520.68667918725</v>
          </cell>
        </row>
      </sheetData>
      <sheetData sheetId="49">
        <row r="17">
          <cell r="L17">
            <v>7852</v>
          </cell>
        </row>
        <row r="31">
          <cell r="D31">
            <v>161779.70838395829</v>
          </cell>
        </row>
      </sheetData>
      <sheetData sheetId="50">
        <row r="24">
          <cell r="L24">
            <v>11663</v>
          </cell>
        </row>
        <row r="27">
          <cell r="A27">
            <v>88693.171902000002</v>
          </cell>
        </row>
      </sheetData>
      <sheetData sheetId="51">
        <row r="18">
          <cell r="L18">
            <v>7040</v>
          </cell>
        </row>
        <row r="21">
          <cell r="A21">
            <v>45827.839173</v>
          </cell>
        </row>
      </sheetData>
      <sheetData sheetId="52">
        <row r="22">
          <cell r="L22">
            <v>8181</v>
          </cell>
        </row>
        <row r="25">
          <cell r="A25">
            <v>68949.931000000011</v>
          </cell>
        </row>
      </sheetData>
      <sheetData sheetId="53">
        <row r="16">
          <cell r="L16">
            <v>7281</v>
          </cell>
        </row>
        <row r="19">
          <cell r="A19">
            <v>48557.195682000005</v>
          </cell>
        </row>
      </sheetData>
      <sheetData sheetId="54">
        <row r="19">
          <cell r="L19">
            <v>9034</v>
          </cell>
        </row>
        <row r="22">
          <cell r="A22">
            <v>61871.012381999994</v>
          </cell>
        </row>
      </sheetData>
      <sheetData sheetId="55">
        <row r="9">
          <cell r="B9">
            <v>-25256.25841942722</v>
          </cell>
          <cell r="E9">
            <v>-3327.571752760557</v>
          </cell>
          <cell r="H9">
            <v>-197.07508609389035</v>
          </cell>
          <cell r="K9">
            <v>-3014.5884194272235</v>
          </cell>
          <cell r="N9">
            <v>-2695.8384194272235</v>
          </cell>
        </row>
        <row r="17">
          <cell r="B17">
            <v>-5985.3874999999998</v>
          </cell>
          <cell r="H17">
            <v>-1659.3650860938903</v>
          </cell>
          <cell r="K17">
            <v>-197.07508609389035</v>
          </cell>
          <cell r="N17">
            <v>-176.24175276055701</v>
          </cell>
        </row>
        <row r="25">
          <cell r="B25">
            <v>-10496.06198609389</v>
          </cell>
          <cell r="E25">
            <v>-197.07508609389035</v>
          </cell>
          <cell r="H25">
            <v>-197.07508609389035</v>
          </cell>
          <cell r="K25">
            <v>-11893.161986093892</v>
          </cell>
          <cell r="N25">
            <v>-12569.191986093891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>
        <row r="139">
          <cell r="H139">
            <v>24316.77</v>
          </cell>
        </row>
      </sheetData>
      <sheetData sheetId="65"/>
      <sheetData sheetId="66"/>
      <sheetData sheetId="67"/>
      <sheetData sheetId="6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"/>
  <sheetViews>
    <sheetView topLeftCell="B13" workbookViewId="0">
      <selection activeCell="M47" sqref="M47"/>
    </sheetView>
  </sheetViews>
  <sheetFormatPr baseColWidth="10" defaultRowHeight="15" x14ac:dyDescent="0.25"/>
  <cols>
    <col min="1" max="1" width="26.42578125" style="2" bestFit="1" customWidth="1"/>
    <col min="2" max="2" width="17.140625" style="2" bestFit="1" customWidth="1"/>
    <col min="3" max="3" width="14.5703125" style="2" bestFit="1" customWidth="1"/>
    <col min="4" max="4" width="13" style="2" bestFit="1" customWidth="1"/>
    <col min="5" max="5" width="9.5703125" style="2" bestFit="1" customWidth="1"/>
    <col min="6" max="9" width="11.42578125" style="2"/>
    <col min="10" max="10" width="34.42578125" style="2" customWidth="1"/>
    <col min="11" max="11" width="15.5703125" style="2" bestFit="1" customWidth="1"/>
    <col min="12" max="16384" width="11.42578125" style="2"/>
  </cols>
  <sheetData>
    <row r="1" spans="1:11" ht="15.75" thickBot="1" x14ac:dyDescent="0.3">
      <c r="A1" s="494" t="s">
        <v>1100</v>
      </c>
      <c r="B1" s="496">
        <v>44470</v>
      </c>
      <c r="C1" s="497"/>
      <c r="D1" s="497"/>
      <c r="E1" s="498"/>
    </row>
    <row r="2" spans="1:11" ht="15.75" thickBot="1" x14ac:dyDescent="0.3">
      <c r="A2" s="495"/>
      <c r="B2" s="298" t="s">
        <v>1101</v>
      </c>
      <c r="C2" s="298" t="s">
        <v>1102</v>
      </c>
      <c r="D2" s="298" t="s">
        <v>706</v>
      </c>
      <c r="E2" s="298" t="s">
        <v>1103</v>
      </c>
    </row>
    <row r="3" spans="1:11" ht="15.75" thickBot="1" x14ac:dyDescent="0.3">
      <c r="A3" s="352" t="s">
        <v>321</v>
      </c>
      <c r="B3" s="353" t="s">
        <v>100</v>
      </c>
      <c r="C3" s="240">
        <f>AC121PH_VIAR!D33</f>
        <v>206625.55697917676</v>
      </c>
      <c r="D3" s="354">
        <f>AC121PH_VIAR!L16</f>
        <v>8656</v>
      </c>
      <c r="E3" s="355">
        <f t="shared" ref="E3:E23" si="0">C3/D3</f>
        <v>23.870789854341123</v>
      </c>
      <c r="I3" s="499" t="s">
        <v>1184</v>
      </c>
      <c r="J3" s="500"/>
    </row>
    <row r="4" spans="1:11" ht="15.75" thickBot="1" x14ac:dyDescent="0.3">
      <c r="A4" s="356" t="s">
        <v>342</v>
      </c>
      <c r="B4" s="353" t="s">
        <v>106</v>
      </c>
      <c r="C4" s="240">
        <f>AC121PI_VIAR!D36</f>
        <v>338658.9547528596</v>
      </c>
      <c r="D4" s="354">
        <f>AC121PI_VIAR!L19</f>
        <v>8076</v>
      </c>
      <c r="E4" s="355">
        <f t="shared" si="0"/>
        <v>41.933996378511587</v>
      </c>
      <c r="I4" s="501" t="s">
        <v>1185</v>
      </c>
      <c r="J4" s="502"/>
    </row>
    <row r="5" spans="1:11" x14ac:dyDescent="0.25">
      <c r="A5" s="356" t="s">
        <v>343</v>
      </c>
      <c r="B5" s="353" t="s">
        <v>118</v>
      </c>
      <c r="C5" s="240">
        <f>AC121PJ_VIAR!D40</f>
        <v>560977.36047579453</v>
      </c>
      <c r="D5" s="354">
        <f>AC121PJ_VIAR!L23</f>
        <v>13351</v>
      </c>
      <c r="E5" s="355">
        <f t="shared" si="0"/>
        <v>42.017628677686652</v>
      </c>
    </row>
    <row r="6" spans="1:11" ht="15.75" thickBot="1" x14ac:dyDescent="0.3">
      <c r="A6" s="356" t="s">
        <v>344</v>
      </c>
      <c r="B6" s="353" t="s">
        <v>124</v>
      </c>
      <c r="C6" s="240">
        <f>AC121PK_VIAR!D40</f>
        <v>621328.00607606629</v>
      </c>
      <c r="D6" s="354">
        <f>AC121PK_VIAR!L23</f>
        <v>13320</v>
      </c>
      <c r="E6" s="355">
        <f t="shared" si="0"/>
        <v>46.646246702407382</v>
      </c>
    </row>
    <row r="7" spans="1:11" x14ac:dyDescent="0.25">
      <c r="A7" s="356" t="s">
        <v>345</v>
      </c>
      <c r="B7" s="353" t="s">
        <v>142</v>
      </c>
      <c r="C7" s="240">
        <f>AD414GY_VIAR!D42</f>
        <v>580220.38717070816</v>
      </c>
      <c r="D7" s="354">
        <f>AD414GY_VIAR!L25</f>
        <v>12988</v>
      </c>
      <c r="E7" s="355">
        <f t="shared" si="0"/>
        <v>44.673574620473374</v>
      </c>
      <c r="I7" s="503" t="s">
        <v>1216</v>
      </c>
      <c r="J7" s="504"/>
      <c r="K7" s="505"/>
    </row>
    <row r="8" spans="1:11" ht="15.75" thickBot="1" x14ac:dyDescent="0.3">
      <c r="A8" s="357" t="s">
        <v>346</v>
      </c>
      <c r="B8" s="358" t="s">
        <v>147</v>
      </c>
      <c r="C8" s="359">
        <f>AD414GZ_VIAR!D40</f>
        <v>330225.66435843857</v>
      </c>
      <c r="D8" s="360">
        <f>AD414GZ_VIAR!L23</f>
        <v>10541</v>
      </c>
      <c r="E8" s="361">
        <f t="shared" si="0"/>
        <v>31.32773592243986</v>
      </c>
      <c r="I8" s="506"/>
      <c r="J8" s="507"/>
      <c r="K8" s="508"/>
    </row>
    <row r="9" spans="1:11" x14ac:dyDescent="0.25">
      <c r="A9" s="357" t="s">
        <v>347</v>
      </c>
      <c r="B9" s="358" t="s">
        <v>151</v>
      </c>
      <c r="C9" s="359">
        <f>AD533SA_VIAR!D46</f>
        <v>495632.42498569994</v>
      </c>
      <c r="D9" s="360">
        <f>AD533SA_VIAR!L29</f>
        <v>13160</v>
      </c>
      <c r="E9" s="361">
        <f t="shared" si="0"/>
        <v>37.662038372773551</v>
      </c>
      <c r="I9" s="509" t="s">
        <v>1186</v>
      </c>
      <c r="J9" s="510"/>
      <c r="K9" s="362">
        <f>C24</f>
        <v>6310200.026895971</v>
      </c>
    </row>
    <row r="10" spans="1:11" x14ac:dyDescent="0.25">
      <c r="A10" s="357" t="s">
        <v>348</v>
      </c>
      <c r="B10" s="358" t="s">
        <v>175</v>
      </c>
      <c r="C10" s="359">
        <f>FWT827_VIAR!D53</f>
        <v>255064.67457885135</v>
      </c>
      <c r="D10" s="360">
        <f>FWT827_VIAR!L36</f>
        <v>9820</v>
      </c>
      <c r="E10" s="361">
        <f t="shared" si="0"/>
        <v>25.973999447948202</v>
      </c>
      <c r="I10" s="513" t="s">
        <v>1187</v>
      </c>
      <c r="J10" s="514"/>
      <c r="K10" s="363">
        <f>C37</f>
        <v>1355638.2015410322</v>
      </c>
    </row>
    <row r="11" spans="1:11" x14ac:dyDescent="0.25">
      <c r="A11" s="357" t="s">
        <v>349</v>
      </c>
      <c r="B11" s="358" t="s">
        <v>204</v>
      </c>
      <c r="C11" s="359">
        <f>HWF024_VIAR!D32</f>
        <v>373180.65894443792</v>
      </c>
      <c r="D11" s="360">
        <f>HWF024_VIAR!L15</f>
        <v>9911</v>
      </c>
      <c r="E11" s="361">
        <f t="shared" si="0"/>
        <v>37.65317918922792</v>
      </c>
      <c r="I11" s="515" t="s">
        <v>1188</v>
      </c>
      <c r="J11" s="516"/>
      <c r="K11" s="364">
        <f>C56</f>
        <v>3272617.8669532537</v>
      </c>
    </row>
    <row r="12" spans="1:11" x14ac:dyDescent="0.25">
      <c r="A12" s="357" t="s">
        <v>350</v>
      </c>
      <c r="B12" s="358" t="s">
        <v>200</v>
      </c>
      <c r="C12" s="359">
        <f>HWF026_VIAR!D36</f>
        <v>739739.82431674423</v>
      </c>
      <c r="D12" s="360">
        <f>HWF026_VIAR!L19</f>
        <v>12067</v>
      </c>
      <c r="E12" s="361">
        <f t="shared" si="0"/>
        <v>61.302711885037226</v>
      </c>
      <c r="I12" s="513" t="s">
        <v>1189</v>
      </c>
      <c r="J12" s="514"/>
      <c r="K12" s="363">
        <f>C65</f>
        <v>452219.08919600002</v>
      </c>
    </row>
    <row r="13" spans="1:11" ht="15.75" thickBot="1" x14ac:dyDescent="0.3">
      <c r="A13" s="357" t="s">
        <v>351</v>
      </c>
      <c r="B13" s="358" t="s">
        <v>229</v>
      </c>
      <c r="C13" s="359">
        <f>JRY934_VIAR!D43</f>
        <v>395984.86556961277</v>
      </c>
      <c r="D13" s="360">
        <f>JRY934_VIAR!L26</f>
        <v>12445</v>
      </c>
      <c r="E13" s="361">
        <f t="shared" si="0"/>
        <v>31.818791930061291</v>
      </c>
      <c r="I13" s="517" t="s">
        <v>1190</v>
      </c>
      <c r="J13" s="518"/>
      <c r="K13" s="365">
        <f>C87</f>
        <v>-64278.744779253633</v>
      </c>
    </row>
    <row r="14" spans="1:11" x14ac:dyDescent="0.25">
      <c r="A14" s="356" t="s">
        <v>352</v>
      </c>
      <c r="B14" s="353" t="s">
        <v>232</v>
      </c>
      <c r="C14" s="240">
        <f>JZP219_VIAR!D37</f>
        <v>225419.67026095506</v>
      </c>
      <c r="D14" s="354">
        <f>JZP219_VIAR!L20</f>
        <v>11096</v>
      </c>
      <c r="E14" s="355">
        <f t="shared" si="0"/>
        <v>20.315399266488381</v>
      </c>
      <c r="I14" s="506" t="s">
        <v>1095</v>
      </c>
      <c r="J14" s="507"/>
      <c r="K14" s="492">
        <f>SUM(K9:K13)</f>
        <v>11326396.439807003</v>
      </c>
    </row>
    <row r="15" spans="1:11" ht="15.75" thickBot="1" x14ac:dyDescent="0.3">
      <c r="A15" s="357" t="s">
        <v>353</v>
      </c>
      <c r="B15" s="358" t="s">
        <v>247</v>
      </c>
      <c r="C15" s="359">
        <f>KMU56_VIAR!D38</f>
        <v>135119.2008875256</v>
      </c>
      <c r="D15" s="360">
        <f>KMU56_VIAR!L21</f>
        <v>7668</v>
      </c>
      <c r="E15" s="361">
        <f t="shared" si="0"/>
        <v>17.621179041148356</v>
      </c>
      <c r="I15" s="506"/>
      <c r="J15" s="507"/>
      <c r="K15" s="493"/>
    </row>
    <row r="16" spans="1:11" x14ac:dyDescent="0.25">
      <c r="A16" s="357" t="s">
        <v>1108</v>
      </c>
      <c r="B16" s="358" t="s">
        <v>1217</v>
      </c>
      <c r="C16" s="359">
        <f>'UNIDADES SIN USO'!E33</f>
        <v>-69236.313962049346</v>
      </c>
      <c r="D16" s="360"/>
      <c r="E16" s="361"/>
      <c r="I16" s="509" t="s">
        <v>708</v>
      </c>
      <c r="J16" s="510"/>
      <c r="K16" s="366">
        <f>D24</f>
        <v>207749</v>
      </c>
    </row>
    <row r="17" spans="1:13" x14ac:dyDescent="0.25">
      <c r="A17" s="357" t="s">
        <v>354</v>
      </c>
      <c r="B17" s="358" t="s">
        <v>270</v>
      </c>
      <c r="C17" s="359">
        <f>KOL760_VIAR!D39</f>
        <v>139084.7766209718</v>
      </c>
      <c r="D17" s="360">
        <f>KOL760_VIAR!L22</f>
        <v>9590</v>
      </c>
      <c r="E17" s="361">
        <f t="shared" si="0"/>
        <v>14.50310496569049</v>
      </c>
      <c r="I17" s="513" t="s">
        <v>1191</v>
      </c>
      <c r="J17" s="514"/>
      <c r="K17" s="367">
        <f>D37</f>
        <v>69170</v>
      </c>
    </row>
    <row r="18" spans="1:13" x14ac:dyDescent="0.25">
      <c r="A18" s="356" t="s">
        <v>355</v>
      </c>
      <c r="B18" s="353" t="s">
        <v>283</v>
      </c>
      <c r="C18" s="240">
        <f>KWO766_VIAR!D26</f>
        <v>-118119.57416124565</v>
      </c>
      <c r="D18" s="354">
        <f>KWO766_VIAR!L9</f>
        <v>3700</v>
      </c>
      <c r="E18" s="355">
        <f t="shared" si="0"/>
        <v>-31.924209232769094</v>
      </c>
      <c r="I18" s="515" t="s">
        <v>1192</v>
      </c>
      <c r="J18" s="516"/>
      <c r="K18" s="368">
        <f>D56</f>
        <v>155347</v>
      </c>
    </row>
    <row r="19" spans="1:13" ht="15.75" thickBot="1" x14ac:dyDescent="0.3">
      <c r="A19" s="357" t="s">
        <v>356</v>
      </c>
      <c r="B19" s="358" t="s">
        <v>286</v>
      </c>
      <c r="C19" s="359">
        <f>LUY734_VIAR!D46</f>
        <v>60333.806076252949</v>
      </c>
      <c r="D19" s="360">
        <f>LUY734_VIAR!L29</f>
        <v>8932</v>
      </c>
      <c r="E19" s="361">
        <f t="shared" si="0"/>
        <v>6.7547924402432766</v>
      </c>
      <c r="I19" s="517" t="s">
        <v>1193</v>
      </c>
      <c r="J19" s="518"/>
      <c r="K19" s="369">
        <f>D65</f>
        <v>54917</v>
      </c>
    </row>
    <row r="20" spans="1:13" ht="15.75" thickBot="1" x14ac:dyDescent="0.3">
      <c r="A20" s="357" t="s">
        <v>357</v>
      </c>
      <c r="B20" s="358" t="s">
        <v>246</v>
      </c>
      <c r="C20" s="359">
        <f>MAV483_VIAR!D43</f>
        <v>202454.75403095485</v>
      </c>
      <c r="D20" s="360">
        <f>MAV483_VIAR!L26</f>
        <v>10892</v>
      </c>
      <c r="E20" s="361">
        <f t="shared" si="0"/>
        <v>18.587472826933055</v>
      </c>
      <c r="I20" s="519" t="s">
        <v>1171</v>
      </c>
      <c r="J20" s="520"/>
      <c r="K20" s="370">
        <f>SUM(K16:K19)</f>
        <v>487183</v>
      </c>
      <c r="L20" s="371">
        <f>K14/K20</f>
        <v>23.248751372291323</v>
      </c>
    </row>
    <row r="21" spans="1:13" x14ac:dyDescent="0.25">
      <c r="A21" s="357" t="s">
        <v>358</v>
      </c>
      <c r="B21" s="358" t="s">
        <v>249</v>
      </c>
      <c r="C21" s="359">
        <f>MMN838_VIAR!D43</f>
        <v>242303.5389953074</v>
      </c>
      <c r="D21" s="360">
        <f>MMN838_VIAR!L26</f>
        <v>11750</v>
      </c>
      <c r="E21" s="361">
        <f t="shared" si="0"/>
        <v>20.621577786834674</v>
      </c>
    </row>
    <row r="22" spans="1:13" ht="15.75" thickBot="1" x14ac:dyDescent="0.3">
      <c r="A22" s="357" t="s">
        <v>359</v>
      </c>
      <c r="B22" s="358" t="s">
        <v>317</v>
      </c>
      <c r="C22" s="359">
        <f>ORO021_VIAR!D38</f>
        <v>308196.29582713562</v>
      </c>
      <c r="D22" s="360">
        <f>ORO021_VIAR!L21</f>
        <v>10245</v>
      </c>
      <c r="E22" s="361">
        <f t="shared" si="0"/>
        <v>30.082605742033735</v>
      </c>
    </row>
    <row r="23" spans="1:13" ht="15.75" thickBot="1" x14ac:dyDescent="0.3">
      <c r="A23" s="372" t="s">
        <v>360</v>
      </c>
      <c r="B23" s="358" t="s">
        <v>289</v>
      </c>
      <c r="C23" s="373">
        <f>OXJ862_VIAR!D40</f>
        <v>287005.49411177338</v>
      </c>
      <c r="D23" s="374">
        <f>OXJ862_VIAR!L23</f>
        <v>9541</v>
      </c>
      <c r="E23" s="361">
        <f t="shared" si="0"/>
        <v>30.081280171027501</v>
      </c>
      <c r="J23"/>
      <c r="K23"/>
      <c r="L23" s="254" t="s">
        <v>706</v>
      </c>
      <c r="M23" s="254" t="s">
        <v>320</v>
      </c>
    </row>
    <row r="24" spans="1:13" ht="15.75" thickBot="1" x14ac:dyDescent="0.3">
      <c r="A24" s="511" t="s">
        <v>1090</v>
      </c>
      <c r="B24" s="512"/>
      <c r="C24" s="375">
        <f>SUM(C3:C23)</f>
        <v>6310200.026895971</v>
      </c>
      <c r="D24" s="376">
        <f>SUM(D3:D23)</f>
        <v>207749</v>
      </c>
      <c r="E24" s="377">
        <f>C24/D24</f>
        <v>30.3741535549917</v>
      </c>
      <c r="I24" s="496" t="s">
        <v>1194</v>
      </c>
      <c r="J24" s="498"/>
      <c r="K24" s="378">
        <f>[1]RESUMEN!J9</f>
        <v>6767490.0024736086</v>
      </c>
      <c r="L24" s="379">
        <f>[1]RESUMEN!J14</f>
        <v>504324.30800000002</v>
      </c>
      <c r="M24" s="380">
        <f>K24/L24</f>
        <v>13.418924876557028</v>
      </c>
    </row>
    <row r="25" spans="1:13" ht="15.75" thickBot="1" x14ac:dyDescent="0.3">
      <c r="I25" s="496" t="s">
        <v>1195</v>
      </c>
      <c r="J25" s="498"/>
      <c r="K25" s="378">
        <f>[1]RESUMEN!N9</f>
        <v>6246860.6456606388</v>
      </c>
      <c r="L25" s="379">
        <f>[1]RESUMEN!N14</f>
        <v>473896.00003</v>
      </c>
      <c r="M25" s="380">
        <f t="shared" ref="M25:M33" si="1">K25/L25</f>
        <v>13.181923133483256</v>
      </c>
    </row>
    <row r="26" spans="1:13" ht="15.75" thickBot="1" x14ac:dyDescent="0.3">
      <c r="A26" s="494" t="s">
        <v>1109</v>
      </c>
      <c r="B26" s="496">
        <v>44470</v>
      </c>
      <c r="C26" s="497"/>
      <c r="D26" s="497"/>
      <c r="E26" s="498"/>
      <c r="I26" s="496" t="s">
        <v>1196</v>
      </c>
      <c r="J26" s="498"/>
      <c r="K26" s="378">
        <f>[1]RESUMEN!R9</f>
        <v>6406767.3532855548</v>
      </c>
      <c r="L26" s="379">
        <f>[1]RESUMEN!R14</f>
        <v>531033</v>
      </c>
      <c r="M26" s="380">
        <f t="shared" si="1"/>
        <v>12.064725456394527</v>
      </c>
    </row>
    <row r="27" spans="1:13" ht="15.75" thickBot="1" x14ac:dyDescent="0.3">
      <c r="A27" s="495"/>
      <c r="B27" s="298" t="s">
        <v>1101</v>
      </c>
      <c r="C27" s="298" t="s">
        <v>1102</v>
      </c>
      <c r="D27" s="298" t="s">
        <v>706</v>
      </c>
      <c r="E27" s="298" t="s">
        <v>1103</v>
      </c>
      <c r="I27" s="496" t="s">
        <v>1197</v>
      </c>
      <c r="J27" s="498"/>
      <c r="K27" s="314">
        <f>[1]RESUMEN!V9</f>
        <v>6005398.8866563207</v>
      </c>
      <c r="L27" s="379">
        <f>[1]RESUMEN!V14</f>
        <v>474326</v>
      </c>
      <c r="M27" s="380">
        <f t="shared" si="1"/>
        <v>12.660910189735162</v>
      </c>
    </row>
    <row r="28" spans="1:13" ht="15.75" thickBot="1" x14ac:dyDescent="0.3">
      <c r="A28" s="381" t="s">
        <v>361</v>
      </c>
      <c r="B28" s="382" t="s">
        <v>80</v>
      </c>
      <c r="C28" s="383">
        <f>KHL103_ARDILES!D32</f>
        <v>207867.95178471776</v>
      </c>
      <c r="D28" s="360">
        <f>KHL103_ARDILES!L18</f>
        <v>7394</v>
      </c>
      <c r="E28" s="361">
        <f t="shared" ref="E28:E35" si="2">C28/D28</f>
        <v>28.113058126145219</v>
      </c>
      <c r="I28" s="496" t="s">
        <v>1198</v>
      </c>
      <c r="J28" s="498"/>
      <c r="K28" s="314">
        <f>[1]RESUMEN!Z9</f>
        <v>5939491.8898324277</v>
      </c>
      <c r="L28" s="379">
        <f>[1]RESUMEN!Z14</f>
        <v>396428</v>
      </c>
      <c r="M28" s="380">
        <f t="shared" si="1"/>
        <v>14.982523660872662</v>
      </c>
    </row>
    <row r="29" spans="1:13" ht="15.75" thickBot="1" x14ac:dyDescent="0.3">
      <c r="A29" s="357" t="s">
        <v>362</v>
      </c>
      <c r="B29" s="382" t="s">
        <v>279</v>
      </c>
      <c r="C29" s="383">
        <f>'KSS334_CUGNO E'!D31</f>
        <v>132379.82842786558</v>
      </c>
      <c r="D29" s="360">
        <f>'KSS334_CUGNO E'!L17</f>
        <v>6490</v>
      </c>
      <c r="E29" s="361">
        <f t="shared" si="2"/>
        <v>20.397508232336762</v>
      </c>
      <c r="I29" s="496" t="s">
        <v>1199</v>
      </c>
      <c r="J29" s="498"/>
      <c r="K29" s="314">
        <f>[1]RESUMEN!AD9</f>
        <v>6081759.9980864776</v>
      </c>
      <c r="L29" s="379">
        <f>[1]RESUMEN!AD14</f>
        <v>441185</v>
      </c>
      <c r="M29" s="380">
        <f t="shared" si="1"/>
        <v>13.785056151243758</v>
      </c>
    </row>
    <row r="30" spans="1:13" ht="15.75" thickBot="1" x14ac:dyDescent="0.3">
      <c r="A30" s="357" t="s">
        <v>363</v>
      </c>
      <c r="B30" s="382" t="s">
        <v>253</v>
      </c>
      <c r="C30" s="383">
        <f>'KNA501_CUGNO G'!D39</f>
        <v>264478.18767890905</v>
      </c>
      <c r="D30" s="360">
        <f>'KNA501_CUGNO G'!L25</f>
        <v>11115</v>
      </c>
      <c r="E30" s="361">
        <f t="shared" si="2"/>
        <v>23.794708743041749</v>
      </c>
      <c r="I30" s="496" t="s">
        <v>1200</v>
      </c>
      <c r="J30" s="498"/>
      <c r="K30" s="314">
        <f>[1]RESUMEN!AH9</f>
        <v>6900581.7579204375</v>
      </c>
      <c r="L30" s="379">
        <f>[1]RESUMEN!AH14</f>
        <v>427681</v>
      </c>
      <c r="M30" s="380">
        <f t="shared" si="1"/>
        <v>16.134880338197014</v>
      </c>
    </row>
    <row r="31" spans="1:13" ht="15.75" thickBot="1" x14ac:dyDescent="0.3">
      <c r="A31" s="357" t="s">
        <v>364</v>
      </c>
      <c r="B31" s="382" t="s">
        <v>183</v>
      </c>
      <c r="C31" s="383">
        <f>'HPJ126_CUGNO G'!D33</f>
        <v>94559.459766752523</v>
      </c>
      <c r="D31" s="360">
        <f>'HPJ126_CUGNO G'!L19</f>
        <v>7966</v>
      </c>
      <c r="E31" s="361">
        <f t="shared" si="2"/>
        <v>11.87038159261267</v>
      </c>
      <c r="I31" s="496" t="s">
        <v>1201</v>
      </c>
      <c r="J31" s="498"/>
      <c r="K31" s="314">
        <f>[1]RESUMEN!AL9</f>
        <v>7739781.4351167958</v>
      </c>
      <c r="L31" s="379">
        <f>[1]RESUMEN!AL14</f>
        <v>495256</v>
      </c>
      <c r="M31" s="380">
        <f t="shared" si="1"/>
        <v>15.627839814392548</v>
      </c>
    </row>
    <row r="32" spans="1:13" ht="15.75" thickBot="1" x14ac:dyDescent="0.3">
      <c r="A32" s="357" t="s">
        <v>365</v>
      </c>
      <c r="B32" s="382" t="s">
        <v>309</v>
      </c>
      <c r="C32" s="383">
        <f>'MMN880_CUGNO M'!D40</f>
        <v>214694.29885657859</v>
      </c>
      <c r="D32" s="360">
        <f>'MMN880_CUGNO M'!L26</f>
        <v>12006</v>
      </c>
      <c r="E32" s="361">
        <f t="shared" si="2"/>
        <v>17.882250446158469</v>
      </c>
      <c r="I32" s="496" t="s">
        <v>1202</v>
      </c>
      <c r="J32" s="498"/>
      <c r="K32" s="314">
        <f>[2]RESUMEN!AP9</f>
        <v>10220776.18246487</v>
      </c>
      <c r="L32" s="379">
        <f>[2]RESUMEN!AP14</f>
        <v>508453</v>
      </c>
      <c r="M32" s="380">
        <f t="shared" si="1"/>
        <v>20.101712808194407</v>
      </c>
    </row>
    <row r="33" spans="1:13" ht="15.75" thickBot="1" x14ac:dyDescent="0.3">
      <c r="A33" s="357" t="s">
        <v>366</v>
      </c>
      <c r="B33" s="382" t="s">
        <v>225</v>
      </c>
      <c r="C33" s="383">
        <f>JJA110_GENTA!D35</f>
        <v>173012.59877963949</v>
      </c>
      <c r="D33" s="360">
        <f>JJA110_GENTA!L21</f>
        <v>9672</v>
      </c>
      <c r="E33" s="361">
        <f t="shared" si="2"/>
        <v>17.887985812617814</v>
      </c>
      <c r="I33" s="496" t="s">
        <v>1218</v>
      </c>
      <c r="J33" s="498"/>
      <c r="K33" s="314">
        <f>RESUMEN!AT9</f>
        <v>11326396.439807002</v>
      </c>
      <c r="L33" s="379">
        <f>RESUMEN!AT14</f>
        <v>487183</v>
      </c>
      <c r="M33" s="380">
        <f t="shared" si="1"/>
        <v>23.24875137229132</v>
      </c>
    </row>
    <row r="34" spans="1:13" x14ac:dyDescent="0.25">
      <c r="A34" s="357" t="s">
        <v>367</v>
      </c>
      <c r="B34" s="382" t="s">
        <v>49</v>
      </c>
      <c r="C34" s="383">
        <f>AA702TE_GIACONE!D23</f>
        <v>40261.462180804709</v>
      </c>
      <c r="D34" s="360">
        <f>AA702TE_GIACONE!L9</f>
        <v>2844</v>
      </c>
      <c r="E34" s="361">
        <f t="shared" si="2"/>
        <v>14.156632271731613</v>
      </c>
    </row>
    <row r="35" spans="1:13" x14ac:dyDescent="0.25">
      <c r="A35" s="357" t="s">
        <v>368</v>
      </c>
      <c r="B35" s="382" t="s">
        <v>73</v>
      </c>
      <c r="C35" s="383">
        <f>AB595CA_GUAL!D38</f>
        <v>228384.4140657644</v>
      </c>
      <c r="D35" s="360">
        <f>AB595CA_GUAL!L24</f>
        <v>11683</v>
      </c>
      <c r="E35" s="361">
        <f t="shared" si="2"/>
        <v>19.548439105175419</v>
      </c>
    </row>
    <row r="36" spans="1:13" ht="15.75" thickBot="1" x14ac:dyDescent="0.3">
      <c r="A36" s="357" t="s">
        <v>1113</v>
      </c>
      <c r="B36" s="382"/>
      <c r="C36" s="383"/>
      <c r="D36" s="360"/>
      <c r="E36" s="361"/>
    </row>
    <row r="37" spans="1:13" ht="15.75" thickBot="1" x14ac:dyDescent="0.3">
      <c r="A37" s="511" t="s">
        <v>1091</v>
      </c>
      <c r="B37" s="512"/>
      <c r="C37" s="375">
        <f>SUM(C28:C36)</f>
        <v>1355638.2015410322</v>
      </c>
      <c r="D37" s="376">
        <f>SUM(D28:D36)</f>
        <v>69170</v>
      </c>
      <c r="E37" s="377">
        <f>C37/D37</f>
        <v>19.598643943053812</v>
      </c>
      <c r="J37"/>
      <c r="K37"/>
      <c r="L37" s="254" t="s">
        <v>706</v>
      </c>
      <c r="M37" s="254" t="s">
        <v>320</v>
      </c>
    </row>
    <row r="38" spans="1:13" ht="15.75" thickBot="1" x14ac:dyDescent="0.3">
      <c r="I38" s="496" t="s">
        <v>1203</v>
      </c>
      <c r="J38" s="498"/>
      <c r="K38" s="378">
        <f>[1]RESUMEN!K41</f>
        <v>2432170.0528148436</v>
      </c>
      <c r="L38" s="379">
        <f>[1]RESUMEN!L41</f>
        <v>184342.30800000002</v>
      </c>
      <c r="M38" s="380">
        <f t="shared" ref="M38:M47" si="3">K38/L38</f>
        <v>13.193770215868422</v>
      </c>
    </row>
    <row r="39" spans="1:13" ht="15.75" thickBot="1" x14ac:dyDescent="0.3">
      <c r="A39" s="494" t="s">
        <v>1118</v>
      </c>
      <c r="B39" s="496">
        <v>44470</v>
      </c>
      <c r="C39" s="497"/>
      <c r="D39" s="497"/>
      <c r="E39" s="498"/>
      <c r="I39" s="496" t="s">
        <v>1204</v>
      </c>
      <c r="J39" s="498"/>
      <c r="K39" s="378">
        <f>[1]RESUMEN!O41</f>
        <v>2259318.7874708902</v>
      </c>
      <c r="L39" s="379">
        <f>[1]RESUMEN!P41</f>
        <v>174990</v>
      </c>
      <c r="M39" s="380">
        <f t="shared" si="3"/>
        <v>12.911130850167954</v>
      </c>
    </row>
    <row r="40" spans="1:13" ht="15.75" thickBot="1" x14ac:dyDescent="0.3">
      <c r="A40" s="495"/>
      <c r="B40" s="298" t="s">
        <v>1101</v>
      </c>
      <c r="C40" s="298" t="s">
        <v>1102</v>
      </c>
      <c r="D40" s="298" t="s">
        <v>706</v>
      </c>
      <c r="E40" s="298" t="s">
        <v>1103</v>
      </c>
      <c r="I40" s="496" t="s">
        <v>1205</v>
      </c>
      <c r="J40" s="498"/>
      <c r="K40" s="378">
        <f>[1]RESUMEN!S41</f>
        <v>3404638.8287905445</v>
      </c>
      <c r="L40" s="379">
        <f>[1]RESUMEN!T41</f>
        <v>217179</v>
      </c>
      <c r="M40" s="380">
        <f t="shared" si="3"/>
        <v>15.676648427290598</v>
      </c>
    </row>
    <row r="41" spans="1:13" ht="15.75" thickBot="1" x14ac:dyDescent="0.3">
      <c r="A41" s="384" t="s">
        <v>369</v>
      </c>
      <c r="B41" s="385" t="s">
        <v>265</v>
      </c>
      <c r="C41" s="386">
        <f>KOE220_BALDASSARRE!D39</f>
        <v>293000.54068301339</v>
      </c>
      <c r="D41" s="354">
        <f>KOE220_BALDASSARRE!L25</f>
        <v>13176</v>
      </c>
      <c r="E41" s="355">
        <f>C41/D41</f>
        <v>22.237442371206239</v>
      </c>
      <c r="I41" s="496" t="s">
        <v>1206</v>
      </c>
      <c r="J41" s="498"/>
      <c r="K41" s="314">
        <f>[1]RESUMEN!W41</f>
        <v>2541869.3968046275</v>
      </c>
      <c r="L41" s="379">
        <f>[1]RESUMEN!X41</f>
        <v>184371</v>
      </c>
      <c r="M41" s="380">
        <f t="shared" si="3"/>
        <v>13.786709389245747</v>
      </c>
    </row>
    <row r="42" spans="1:13" ht="15.75" thickBot="1" x14ac:dyDescent="0.3">
      <c r="A42" s="356" t="s">
        <v>370</v>
      </c>
      <c r="B42" s="385" t="s">
        <v>274</v>
      </c>
      <c r="C42" s="386">
        <f>KSL959_BALDASSARRE!D38</f>
        <v>241496.31261396996</v>
      </c>
      <c r="D42" s="354">
        <f>KSL959_BALDASSARRE!L24</f>
        <v>11656</v>
      </c>
      <c r="E42" s="355">
        <f t="shared" ref="E42:E55" si="4">C42/D42</f>
        <v>20.718626682735927</v>
      </c>
      <c r="I42" s="496" t="s">
        <v>1207</v>
      </c>
      <c r="J42" s="498"/>
      <c r="K42" s="314">
        <f>[1]RESUMEN!AA41</f>
        <v>2360452.1082434068</v>
      </c>
      <c r="L42" s="379">
        <f>[1]RESUMEN!AB41</f>
        <v>156742</v>
      </c>
      <c r="M42" s="380">
        <f t="shared" si="3"/>
        <v>15.059474220332818</v>
      </c>
    </row>
    <row r="43" spans="1:13" ht="15.75" thickBot="1" x14ac:dyDescent="0.3">
      <c r="A43" s="356" t="s">
        <v>1119</v>
      </c>
      <c r="B43" s="385" t="s">
        <v>55</v>
      </c>
      <c r="C43" s="386">
        <f>AA996WC_CASTILLO!D38</f>
        <v>289341.29558496707</v>
      </c>
      <c r="D43" s="354">
        <f>AA996WC_CASTILLO!L24</f>
        <v>13640</v>
      </c>
      <c r="E43" s="355">
        <f t="shared" si="4"/>
        <v>21.212704954909608</v>
      </c>
      <c r="I43" s="496" t="s">
        <v>1208</v>
      </c>
      <c r="J43" s="498"/>
      <c r="K43" s="314">
        <f>[1]RESUMEN!AE41</f>
        <v>2477783.7993695159</v>
      </c>
      <c r="L43" s="379">
        <f>[1]RESUMEN!AF41</f>
        <v>180490</v>
      </c>
      <c r="M43" s="380">
        <f t="shared" si="3"/>
        <v>13.72809462778833</v>
      </c>
    </row>
    <row r="44" spans="1:13" ht="15.75" thickBot="1" x14ac:dyDescent="0.3">
      <c r="A44" s="356" t="s">
        <v>372</v>
      </c>
      <c r="B44" s="385" t="s">
        <v>155</v>
      </c>
      <c r="C44" s="386">
        <f>AD864HO_FERREYRA!D35</f>
        <v>209115.71091595836</v>
      </c>
      <c r="D44" s="354">
        <f>AD864HO_FERREYRA!L21</f>
        <v>9702</v>
      </c>
      <c r="E44" s="355">
        <f t="shared" si="4"/>
        <v>21.553876614714323</v>
      </c>
      <c r="I44" s="496" t="s">
        <v>1209</v>
      </c>
      <c r="J44" s="498"/>
      <c r="K44" s="314">
        <f>[1]RESUMEN!AI41</f>
        <v>2933289.3210517806</v>
      </c>
      <c r="L44" s="379">
        <f>[1]RESUMEN!AJ41</f>
        <v>182650</v>
      </c>
      <c r="M44" s="380">
        <f t="shared" si="3"/>
        <v>16.059618511096527</v>
      </c>
    </row>
    <row r="45" spans="1:13" ht="15.75" thickBot="1" x14ac:dyDescent="0.3">
      <c r="A45" s="356" t="s">
        <v>373</v>
      </c>
      <c r="B45" s="385" t="s">
        <v>134</v>
      </c>
      <c r="C45" s="386">
        <f>AC377BI_GODOY!D36</f>
        <v>240792.01761456707</v>
      </c>
      <c r="D45" s="354">
        <f>AC377BI_GODOY!L22</f>
        <v>10972</v>
      </c>
      <c r="E45" s="355">
        <f t="shared" si="4"/>
        <v>21.946046082260942</v>
      </c>
      <c r="I45" s="496" t="s">
        <v>1210</v>
      </c>
      <c r="J45" s="498"/>
      <c r="K45" s="314">
        <f>[1]RESUMEN!AM41</f>
        <v>4738740.6934102476</v>
      </c>
      <c r="L45" s="379">
        <f>[1]RESUMEN!AN41</f>
        <v>195820</v>
      </c>
      <c r="M45" s="380">
        <f t="shared" si="3"/>
        <v>24.199472441069592</v>
      </c>
    </row>
    <row r="46" spans="1:13" ht="15.75" thickBot="1" x14ac:dyDescent="0.3">
      <c r="A46" s="356" t="s">
        <v>374</v>
      </c>
      <c r="B46" s="385" t="s">
        <v>33</v>
      </c>
      <c r="C46" s="386">
        <f>AA612XR_ITATI!D31</f>
        <v>180465.12250301341</v>
      </c>
      <c r="D46" s="354">
        <f>AA612XR_ITATI!L17</f>
        <v>9726</v>
      </c>
      <c r="E46" s="355">
        <f t="shared" si="4"/>
        <v>18.554916975428071</v>
      </c>
      <c r="I46" s="496" t="s">
        <v>1211</v>
      </c>
      <c r="J46" s="498"/>
      <c r="K46" s="314">
        <f>[2]RESUMEN!AQ41</f>
        <v>4698071.8006983809</v>
      </c>
      <c r="L46" s="379">
        <f>[2]RESUMEN!AR41</f>
        <v>202753</v>
      </c>
      <c r="M46" s="380">
        <f t="shared" si="3"/>
        <v>23.171404618912572</v>
      </c>
    </row>
    <row r="47" spans="1:13" ht="15.75" thickBot="1" x14ac:dyDescent="0.3">
      <c r="A47" s="356" t="s">
        <v>375</v>
      </c>
      <c r="B47" s="385" t="s">
        <v>187</v>
      </c>
      <c r="C47" s="386">
        <f>HVE658_ITATI!D35</f>
        <v>245277.63992485686</v>
      </c>
      <c r="D47" s="354">
        <f>HVE658_ITATI!L21</f>
        <v>10947</v>
      </c>
      <c r="E47" s="355">
        <f t="shared" si="4"/>
        <v>22.405923077085674</v>
      </c>
      <c r="I47" s="496" t="s">
        <v>1219</v>
      </c>
      <c r="J47" s="498"/>
      <c r="K47" s="314">
        <f>RESUMEN!AT4</f>
        <v>6308998.0710522002</v>
      </c>
      <c r="L47" s="379">
        <f>RESUMEN!AV41</f>
        <v>207749</v>
      </c>
      <c r="M47" s="380">
        <f t="shared" si="3"/>
        <v>30.368367939447122</v>
      </c>
    </row>
    <row r="48" spans="1:13" x14ac:dyDescent="0.25">
      <c r="A48" s="356" t="s">
        <v>376</v>
      </c>
      <c r="B48" s="385" t="s">
        <v>258</v>
      </c>
      <c r="C48" s="386">
        <f>KNQ676_ITATI!D36</f>
        <v>227499.90971625401</v>
      </c>
      <c r="D48" s="354">
        <f>KNQ676_ITATI!L22</f>
        <v>12724</v>
      </c>
      <c r="E48" s="355">
        <f t="shared" si="4"/>
        <v>17.879590515266742</v>
      </c>
    </row>
    <row r="49" spans="1:5" x14ac:dyDescent="0.25">
      <c r="A49" s="356" t="s">
        <v>1123</v>
      </c>
      <c r="B49" s="385" t="s">
        <v>313</v>
      </c>
      <c r="C49" s="386">
        <f>OMA273_LOPEZ!D35</f>
        <v>233540.52479734388</v>
      </c>
      <c r="D49" s="354">
        <f>OMA273_LOPEZ!L21</f>
        <v>11710</v>
      </c>
      <c r="E49" s="355">
        <f t="shared" si="4"/>
        <v>19.943682732480262</v>
      </c>
    </row>
    <row r="50" spans="1:5" x14ac:dyDescent="0.25">
      <c r="A50" s="356" t="s">
        <v>378</v>
      </c>
      <c r="B50" s="385" t="s">
        <v>238</v>
      </c>
      <c r="C50" s="386">
        <f>KGF058_REYERO!D34</f>
        <v>230616.44772299606</v>
      </c>
      <c r="D50" s="354">
        <f>KGF058_REYERO!L20</f>
        <v>10935</v>
      </c>
      <c r="E50" s="355">
        <f t="shared" si="4"/>
        <v>21.089752878188939</v>
      </c>
    </row>
    <row r="51" spans="1:5" x14ac:dyDescent="0.25">
      <c r="A51" s="356" t="s">
        <v>380</v>
      </c>
      <c r="B51" s="385" t="s">
        <v>161</v>
      </c>
      <c r="C51" s="386">
        <f>'AE502ET_S.Y.L'!D35</f>
        <v>258580.56370332104</v>
      </c>
      <c r="D51" s="354">
        <f>'AE502ET_S.Y.L'!L21</f>
        <v>10766</v>
      </c>
      <c r="E51" s="355">
        <f t="shared" si="4"/>
        <v>24.018257821226179</v>
      </c>
    </row>
    <row r="52" spans="1:5" x14ac:dyDescent="0.25">
      <c r="A52" s="356" t="s">
        <v>381</v>
      </c>
      <c r="B52" s="385" t="s">
        <v>300</v>
      </c>
      <c r="C52" s="386">
        <f>'MBP526_S.Y.L'!D32</f>
        <v>200214.33558428878</v>
      </c>
      <c r="D52" s="354">
        <f>'MBP526_S.Y.L'!L18</f>
        <v>9616</v>
      </c>
      <c r="E52" s="355">
        <f>C51/D51</f>
        <v>24.018257821226179</v>
      </c>
    </row>
    <row r="53" spans="1:5" x14ac:dyDescent="0.25">
      <c r="A53" s="356" t="s">
        <v>379</v>
      </c>
      <c r="B53" s="385" t="s">
        <v>66</v>
      </c>
      <c r="C53" s="386">
        <f>'AB206GS_S.Y.L'!D26</f>
        <v>109803.8571406308</v>
      </c>
      <c r="D53" s="354">
        <f>'AB206GS_S.Y.L'!L12</f>
        <v>5159</v>
      </c>
      <c r="E53" s="355">
        <f>C52/D52</f>
        <v>20.820958359431028</v>
      </c>
    </row>
    <row r="54" spans="1:5" x14ac:dyDescent="0.25">
      <c r="A54" s="356" t="s">
        <v>382</v>
      </c>
      <c r="B54" s="385" t="s">
        <v>7</v>
      </c>
      <c r="C54" s="386">
        <f>AA327US_TAMES!D21</f>
        <v>65999.169317372827</v>
      </c>
      <c r="D54" s="354">
        <f>AA327US_TAMES!L7</f>
        <v>2220</v>
      </c>
      <c r="E54" s="355">
        <f t="shared" si="4"/>
        <v>29.72935554836614</v>
      </c>
    </row>
    <row r="55" spans="1:5" ht="15.75" thickBot="1" x14ac:dyDescent="0.3">
      <c r="A55" s="387" t="s">
        <v>383</v>
      </c>
      <c r="B55" s="385" t="s">
        <v>85</v>
      </c>
      <c r="C55" s="386">
        <f>'AB631DS_TRANSP M Y H'!D37</f>
        <v>246874.41913070035</v>
      </c>
      <c r="D55" s="354">
        <f>'AB631DS_TRANSP M Y H'!L23</f>
        <v>12398</v>
      </c>
      <c r="E55" s="355">
        <f t="shared" si="4"/>
        <v>19.912439032965022</v>
      </c>
    </row>
    <row r="56" spans="1:5" ht="15.75" thickBot="1" x14ac:dyDescent="0.3">
      <c r="A56" s="511" t="s">
        <v>1092</v>
      </c>
      <c r="B56" s="512"/>
      <c r="C56" s="375">
        <f>SUM(C41:C55)</f>
        <v>3272617.8669532537</v>
      </c>
      <c r="D56" s="376">
        <f>SUM(D41:D55)</f>
        <v>155347</v>
      </c>
      <c r="E56" s="377">
        <f>C56/D56</f>
        <v>21.06650187614343</v>
      </c>
    </row>
    <row r="57" spans="1:5" ht="15.75" thickBot="1" x14ac:dyDescent="0.3"/>
    <row r="58" spans="1:5" ht="15.75" thickBot="1" x14ac:dyDescent="0.3">
      <c r="A58" s="523" t="s">
        <v>1212</v>
      </c>
      <c r="B58" s="524"/>
      <c r="C58" s="527">
        <v>44470</v>
      </c>
      <c r="D58" s="528"/>
      <c r="E58" s="529"/>
    </row>
    <row r="59" spans="1:5" ht="15.75" thickBot="1" x14ac:dyDescent="0.3">
      <c r="A59" s="525"/>
      <c r="B59" s="526"/>
      <c r="C59" s="298" t="s">
        <v>1102</v>
      </c>
      <c r="D59" s="298" t="s">
        <v>706</v>
      </c>
      <c r="E59" s="295" t="s">
        <v>1103</v>
      </c>
    </row>
    <row r="60" spans="1:5" x14ac:dyDescent="0.25">
      <c r="A60" s="530" t="s">
        <v>386</v>
      </c>
      <c r="B60" s="531"/>
      <c r="C60" s="359">
        <f>'HVW275_DE LA RUBIA'!A27</f>
        <v>110362.57597799999</v>
      </c>
      <c r="D60" s="388">
        <f>'HVW275_DE LA RUBIA'!L24</f>
        <v>12022</v>
      </c>
      <c r="E60" s="389">
        <f t="shared" ref="E60:E65" si="5">C60/D60</f>
        <v>9.1800512375644647</v>
      </c>
    </row>
    <row r="61" spans="1:5" x14ac:dyDescent="0.25">
      <c r="A61" s="513" t="s">
        <v>387</v>
      </c>
      <c r="B61" s="532"/>
      <c r="C61" s="359">
        <f>'HZG214_DE LA RUBIA'!A26</f>
        <v>107050.734796</v>
      </c>
      <c r="D61" s="388">
        <f>'HZG214_DE LA RUBIA'!L23</f>
        <v>12628</v>
      </c>
      <c r="E61" s="389">
        <f t="shared" si="5"/>
        <v>8.4772517260057025</v>
      </c>
    </row>
    <row r="62" spans="1:5" x14ac:dyDescent="0.25">
      <c r="A62" s="513" t="s">
        <v>384</v>
      </c>
      <c r="B62" s="532"/>
      <c r="C62" s="359">
        <f>IIJ763_POPULIN!A20</f>
        <v>68902.709000000003</v>
      </c>
      <c r="D62" s="388">
        <f>IIJ763_POPULIN!L17</f>
        <v>8175</v>
      </c>
      <c r="E62" s="389">
        <f t="shared" si="5"/>
        <v>8.4284659327217124</v>
      </c>
    </row>
    <row r="63" spans="1:5" x14ac:dyDescent="0.25">
      <c r="A63" s="513" t="s">
        <v>388</v>
      </c>
      <c r="B63" s="532"/>
      <c r="C63" s="359">
        <f>AB687SH_TURCHETTI!A29</f>
        <v>84591.419672000004</v>
      </c>
      <c r="D63" s="388">
        <f>AB687SH_TURCHETTI!L26</f>
        <v>10935</v>
      </c>
      <c r="E63" s="389">
        <f t="shared" si="5"/>
        <v>7.7358408479195244</v>
      </c>
    </row>
    <row r="64" spans="1:5" ht="15.75" thickBot="1" x14ac:dyDescent="0.3">
      <c r="A64" s="517" t="s">
        <v>389</v>
      </c>
      <c r="B64" s="533"/>
      <c r="C64" s="359">
        <f>AC136AZ_TURCHETTI!A25</f>
        <v>81311.649749999997</v>
      </c>
      <c r="D64" s="388">
        <f>AC136AZ_TURCHETTI!L22</f>
        <v>11157</v>
      </c>
      <c r="E64" s="389">
        <f t="shared" si="5"/>
        <v>7.287949247109438</v>
      </c>
    </row>
    <row r="65" spans="1:10" ht="15.75" thickBot="1" x14ac:dyDescent="0.3">
      <c r="A65" s="521" t="s">
        <v>1213</v>
      </c>
      <c r="B65" s="522"/>
      <c r="C65" s="378">
        <f>SUM(C60:C64)</f>
        <v>452219.08919600002</v>
      </c>
      <c r="D65" s="376">
        <f>SUM(D60:D64)</f>
        <v>54917</v>
      </c>
      <c r="E65" s="380">
        <f t="shared" si="5"/>
        <v>8.2345920060454869</v>
      </c>
    </row>
    <row r="66" spans="1:10" ht="15.75" thickBot="1" x14ac:dyDescent="0.3"/>
    <row r="67" spans="1:10" x14ac:dyDescent="0.25">
      <c r="A67" s="523" t="s">
        <v>513</v>
      </c>
      <c r="B67" s="534"/>
      <c r="C67" s="390">
        <v>44470</v>
      </c>
    </row>
    <row r="68" spans="1:10" ht="15.75" thickBot="1" x14ac:dyDescent="0.3">
      <c r="A68" s="525"/>
      <c r="B68" s="535"/>
      <c r="C68" s="391" t="s">
        <v>340</v>
      </c>
    </row>
    <row r="69" spans="1:10" x14ac:dyDescent="0.25">
      <c r="A69" s="536" t="s">
        <v>440</v>
      </c>
      <c r="B69" s="537"/>
      <c r="C69" s="392">
        <f>'UNIDADES SIN USO'!B9</f>
        <v>-3734.1288545224543</v>
      </c>
    </row>
    <row r="70" spans="1:10" x14ac:dyDescent="0.25">
      <c r="A70" s="538" t="s">
        <v>442</v>
      </c>
      <c r="B70" s="539"/>
      <c r="C70" s="393">
        <f>'UNIDADES SIN USO'!E9</f>
        <v>-3734.1288545224543</v>
      </c>
    </row>
    <row r="71" spans="1:10" x14ac:dyDescent="0.25">
      <c r="A71" s="538" t="s">
        <v>438</v>
      </c>
      <c r="B71" s="539"/>
      <c r="C71" s="393">
        <f>'UNIDADES SIN USO'!H9</f>
        <v>-3310.9021878557878</v>
      </c>
    </row>
    <row r="72" spans="1:10" x14ac:dyDescent="0.25">
      <c r="A72" s="538" t="s">
        <v>499</v>
      </c>
      <c r="B72" s="539"/>
      <c r="C72" s="393">
        <f>'UNIDADES SIN USO'!K9</f>
        <v>-2309.624499683744</v>
      </c>
    </row>
    <row r="73" spans="1:10" x14ac:dyDescent="0.25">
      <c r="A73" s="538" t="s">
        <v>292</v>
      </c>
      <c r="B73" s="539"/>
      <c r="C73" s="393">
        <f>'UNIDADES SIN USO'!N9</f>
        <v>-7084.4744996837444</v>
      </c>
      <c r="D73" s="540"/>
      <c r="E73" s="540"/>
      <c r="F73" s="540"/>
      <c r="G73" s="540"/>
      <c r="H73" s="540"/>
      <c r="I73" s="540"/>
      <c r="J73" s="540"/>
    </row>
    <row r="74" spans="1:10" x14ac:dyDescent="0.25">
      <c r="A74" s="538" t="s">
        <v>410</v>
      </c>
      <c r="B74" s="539"/>
      <c r="C74" s="393">
        <f>'UNIDADES SIN USO'!B17</f>
        <v>-1201.955843769766</v>
      </c>
    </row>
    <row r="75" spans="1:10" x14ac:dyDescent="0.25">
      <c r="A75" s="538" t="s">
        <v>434</v>
      </c>
      <c r="B75" s="539"/>
      <c r="C75" s="393">
        <f>'UNIDADES SIN USO'!E17</f>
        <v>-1534.5416502213789</v>
      </c>
    </row>
    <row r="76" spans="1:10" x14ac:dyDescent="0.25">
      <c r="A76" s="538" t="s">
        <v>445</v>
      </c>
      <c r="B76" s="539"/>
      <c r="C76" s="393">
        <f>'UNIDADES SIN USO'!H17</f>
        <v>-281.93165022137885</v>
      </c>
    </row>
    <row r="77" spans="1:10" x14ac:dyDescent="0.25">
      <c r="A77" s="538" t="s">
        <v>1214</v>
      </c>
      <c r="B77" s="539"/>
      <c r="C77" s="393">
        <f>'UNIDADES SIN USO'!K17</f>
        <v>-262.87788678051868</v>
      </c>
    </row>
    <row r="78" spans="1:10" x14ac:dyDescent="0.25">
      <c r="A78" s="544" t="s">
        <v>305</v>
      </c>
      <c r="B78" s="542"/>
      <c r="C78" s="393">
        <f>'UNIDADES SIN USO'!N17</f>
        <v>-4165.3716502213792</v>
      </c>
    </row>
    <row r="79" spans="1:10" x14ac:dyDescent="0.25">
      <c r="A79" s="538" t="s">
        <v>482</v>
      </c>
      <c r="B79" s="539"/>
      <c r="C79" s="393">
        <f>'UNIDADES SIN USO'!B25</f>
        <v>-1181.9316502213787</v>
      </c>
    </row>
    <row r="80" spans="1:10" x14ac:dyDescent="0.25">
      <c r="A80" s="538" t="s">
        <v>243</v>
      </c>
      <c r="B80" s="539"/>
      <c r="C80" s="393">
        <f>'UNIDADES SIN USO'!E25</f>
        <v>-3020.901650221379</v>
      </c>
    </row>
    <row r="81" spans="1:3" x14ac:dyDescent="0.25">
      <c r="A81" s="538" t="s">
        <v>189</v>
      </c>
      <c r="B81" s="539"/>
      <c r="C81" s="393">
        <f>'UNIDADES SIN USO'!H25</f>
        <v>-24697.53565022138</v>
      </c>
    </row>
    <row r="82" spans="1:3" x14ac:dyDescent="0.25">
      <c r="A82" s="538" t="s">
        <v>179</v>
      </c>
      <c r="B82" s="539"/>
      <c r="C82" s="393">
        <f>'UNIDADES SIN USO'!K25</f>
        <v>-2350.2716502213789</v>
      </c>
    </row>
    <row r="83" spans="1:3" x14ac:dyDescent="0.25">
      <c r="A83" s="538" t="s">
        <v>471</v>
      </c>
      <c r="B83" s="539"/>
      <c r="C83" s="393">
        <f>'UNIDADES SIN USO'!N25</f>
        <v>-381.93165022137885</v>
      </c>
    </row>
    <row r="84" spans="1:3" x14ac:dyDescent="0.25">
      <c r="A84" s="541" t="s">
        <v>463</v>
      </c>
      <c r="B84" s="539"/>
      <c r="C84" s="393">
        <f>'UNIDADES SIN USO'!B33</f>
        <v>-641.93165022137885</v>
      </c>
    </row>
    <row r="85" spans="1:3" x14ac:dyDescent="0.25">
      <c r="A85" s="541" t="s">
        <v>450</v>
      </c>
      <c r="B85" s="539"/>
      <c r="C85" s="393">
        <f>'UNIDADES SIN USO'!H33</f>
        <v>-2192.151650221379</v>
      </c>
    </row>
    <row r="86" spans="1:3" ht="15.75" thickBot="1" x14ac:dyDescent="0.3">
      <c r="A86" s="539" t="s">
        <v>452</v>
      </c>
      <c r="B86" s="542"/>
      <c r="C86" s="393">
        <f>'UNIDADES SIN USO'!K33</f>
        <v>-2192.151650221379</v>
      </c>
    </row>
    <row r="87" spans="1:3" ht="15.75" thickBot="1" x14ac:dyDescent="0.3">
      <c r="A87" s="521" t="s">
        <v>1215</v>
      </c>
      <c r="B87" s="543"/>
      <c r="C87" s="394">
        <f>SUM(C69:C86)</f>
        <v>-64278.744779253633</v>
      </c>
    </row>
  </sheetData>
  <mergeCells count="73">
    <mergeCell ref="A84:B84"/>
    <mergeCell ref="A85:B85"/>
    <mergeCell ref="A86:B86"/>
    <mergeCell ref="A87:B87"/>
    <mergeCell ref="A78:B78"/>
    <mergeCell ref="A80:B80"/>
    <mergeCell ref="A81:B81"/>
    <mergeCell ref="A82:B82"/>
    <mergeCell ref="A83:B83"/>
    <mergeCell ref="A79:B79"/>
    <mergeCell ref="D73:J73"/>
    <mergeCell ref="A74:B74"/>
    <mergeCell ref="A75:B75"/>
    <mergeCell ref="A76:B76"/>
    <mergeCell ref="A77:B77"/>
    <mergeCell ref="A73:B73"/>
    <mergeCell ref="A67:B68"/>
    <mergeCell ref="A69:B69"/>
    <mergeCell ref="A70:B70"/>
    <mergeCell ref="A71:B71"/>
    <mergeCell ref="A72:B72"/>
    <mergeCell ref="A65:B65"/>
    <mergeCell ref="I43:J43"/>
    <mergeCell ref="I44:J44"/>
    <mergeCell ref="I45:J45"/>
    <mergeCell ref="I46:J46"/>
    <mergeCell ref="A56:B56"/>
    <mergeCell ref="A58:B59"/>
    <mergeCell ref="C58:E58"/>
    <mergeCell ref="I47:J47"/>
    <mergeCell ref="A60:B60"/>
    <mergeCell ref="A61:B61"/>
    <mergeCell ref="A62:B62"/>
    <mergeCell ref="A63:B63"/>
    <mergeCell ref="A64:B64"/>
    <mergeCell ref="A39:A40"/>
    <mergeCell ref="B39:E39"/>
    <mergeCell ref="I39:J39"/>
    <mergeCell ref="I40:J40"/>
    <mergeCell ref="I41:J41"/>
    <mergeCell ref="I42:J42"/>
    <mergeCell ref="I29:J29"/>
    <mergeCell ref="I30:J30"/>
    <mergeCell ref="I31:J31"/>
    <mergeCell ref="I32:J32"/>
    <mergeCell ref="A37:B37"/>
    <mergeCell ref="I38:J38"/>
    <mergeCell ref="I33:J33"/>
    <mergeCell ref="I25:J25"/>
    <mergeCell ref="A26:A27"/>
    <mergeCell ref="B26:E26"/>
    <mergeCell ref="I26:J26"/>
    <mergeCell ref="I27:J27"/>
    <mergeCell ref="I28:J28"/>
    <mergeCell ref="A24:B24"/>
    <mergeCell ref="I24:J24"/>
    <mergeCell ref="I10:J10"/>
    <mergeCell ref="I11:J11"/>
    <mergeCell ref="I12:J12"/>
    <mergeCell ref="I13:J13"/>
    <mergeCell ref="I14:J15"/>
    <mergeCell ref="I16:J16"/>
    <mergeCell ref="I17:J17"/>
    <mergeCell ref="I18:J18"/>
    <mergeCell ref="I19:J19"/>
    <mergeCell ref="I20:J20"/>
    <mergeCell ref="K14:K15"/>
    <mergeCell ref="A1:A2"/>
    <mergeCell ref="B1:E1"/>
    <mergeCell ref="I3:J3"/>
    <mergeCell ref="I4:J4"/>
    <mergeCell ref="I7:K8"/>
    <mergeCell ref="I9:J9"/>
  </mergeCells>
  <conditionalFormatting sqref="C3:D23 C28:D36 C41:D55">
    <cfRule type="cellIs" dxfId="703" priority="106" operator="lessThan">
      <formula>0</formula>
    </cfRule>
  </conditionalFormatting>
  <conditionalFormatting sqref="E41:E51 E53:E55 C69:C86">
    <cfRule type="cellIs" dxfId="702" priority="105" operator="lessThan">
      <formula>1</formula>
    </cfRule>
  </conditionalFormatting>
  <conditionalFormatting sqref="E24">
    <cfRule type="cellIs" dxfId="701" priority="104" operator="lessThan">
      <formula>1</formula>
    </cfRule>
  </conditionalFormatting>
  <conditionalFormatting sqref="E37">
    <cfRule type="cellIs" dxfId="700" priority="103" operator="lessThan">
      <formula>1</formula>
    </cfRule>
  </conditionalFormatting>
  <conditionalFormatting sqref="E56">
    <cfRule type="cellIs" dxfId="699" priority="102" operator="lessThan">
      <formula>1</formula>
    </cfRule>
  </conditionalFormatting>
  <conditionalFormatting sqref="E65">
    <cfRule type="cellIs" dxfId="698" priority="100" operator="lessThan">
      <formula>1</formula>
    </cfRule>
  </conditionalFormatting>
  <conditionalFormatting sqref="C65">
    <cfRule type="cellIs" dxfId="697" priority="101" operator="lessThan">
      <formula>0</formula>
    </cfRule>
  </conditionalFormatting>
  <conditionalFormatting sqref="C60:C64">
    <cfRule type="cellIs" dxfId="696" priority="99" operator="lessThan">
      <formula>0</formula>
    </cfRule>
  </conditionalFormatting>
  <conditionalFormatting sqref="E60:E64">
    <cfRule type="cellIs" dxfId="695" priority="98" operator="lessThan">
      <formula>1</formula>
    </cfRule>
  </conditionalFormatting>
  <conditionalFormatting sqref="K28">
    <cfRule type="cellIs" dxfId="694" priority="79" operator="lessThan">
      <formula>0</formula>
    </cfRule>
  </conditionalFormatting>
  <conditionalFormatting sqref="L24:L28">
    <cfRule type="cellIs" dxfId="693" priority="96" operator="lessThan">
      <formula>0</formula>
    </cfRule>
  </conditionalFormatting>
  <conditionalFormatting sqref="K24:K28">
    <cfRule type="cellIs" dxfId="692" priority="95" operator="lessThan">
      <formula>0</formula>
    </cfRule>
  </conditionalFormatting>
  <conditionalFormatting sqref="L29">
    <cfRule type="cellIs" dxfId="691" priority="94" operator="lessThan">
      <formula>0</formula>
    </cfRule>
  </conditionalFormatting>
  <conditionalFormatting sqref="K29">
    <cfRule type="cellIs" dxfId="690" priority="93" operator="lessThan">
      <formula>0</formula>
    </cfRule>
  </conditionalFormatting>
  <conditionalFormatting sqref="L28">
    <cfRule type="cellIs" dxfId="689" priority="92" operator="lessThan">
      <formula>0</formula>
    </cfRule>
  </conditionalFormatting>
  <conditionalFormatting sqref="K28">
    <cfRule type="cellIs" dxfId="688" priority="91" operator="lessThan">
      <formula>0</formula>
    </cfRule>
  </conditionalFormatting>
  <conditionalFormatting sqref="L29">
    <cfRule type="cellIs" dxfId="687" priority="90" operator="lessThan">
      <formula>0</formula>
    </cfRule>
  </conditionalFormatting>
  <conditionalFormatting sqref="K29">
    <cfRule type="cellIs" dxfId="686" priority="89" operator="lessThan">
      <formula>0</formula>
    </cfRule>
  </conditionalFormatting>
  <conditionalFormatting sqref="M24:M31">
    <cfRule type="cellIs" dxfId="685" priority="70" operator="lessThan">
      <formula>1</formula>
    </cfRule>
  </conditionalFormatting>
  <conditionalFormatting sqref="L29">
    <cfRule type="cellIs" dxfId="684" priority="88" operator="lessThan">
      <formula>0</formula>
    </cfRule>
  </conditionalFormatting>
  <conditionalFormatting sqref="K29">
    <cfRule type="cellIs" dxfId="683" priority="87" operator="lessThan">
      <formula>0</formula>
    </cfRule>
  </conditionalFormatting>
  <conditionalFormatting sqref="L28">
    <cfRule type="cellIs" dxfId="682" priority="86" operator="lessThan">
      <formula>0</formula>
    </cfRule>
  </conditionalFormatting>
  <conditionalFormatting sqref="K28">
    <cfRule type="cellIs" dxfId="681" priority="85" operator="lessThan">
      <formula>0</formula>
    </cfRule>
  </conditionalFormatting>
  <conditionalFormatting sqref="L28">
    <cfRule type="cellIs" dxfId="680" priority="84" operator="lessThan">
      <formula>0</formula>
    </cfRule>
  </conditionalFormatting>
  <conditionalFormatting sqref="K28">
    <cfRule type="cellIs" dxfId="679" priority="83" operator="lessThan">
      <formula>0</formula>
    </cfRule>
  </conditionalFormatting>
  <conditionalFormatting sqref="L29">
    <cfRule type="cellIs" dxfId="678" priority="82" operator="lessThan">
      <formula>0</formula>
    </cfRule>
  </conditionalFormatting>
  <conditionalFormatting sqref="K29">
    <cfRule type="cellIs" dxfId="677" priority="81" operator="lessThan">
      <formula>0</formula>
    </cfRule>
  </conditionalFormatting>
  <conditionalFormatting sqref="L28">
    <cfRule type="cellIs" dxfId="676" priority="80" operator="lessThan">
      <formula>0</formula>
    </cfRule>
  </conditionalFormatting>
  <conditionalFormatting sqref="L30:L31">
    <cfRule type="cellIs" dxfId="675" priority="78" operator="lessThan">
      <formula>0</formula>
    </cfRule>
  </conditionalFormatting>
  <conditionalFormatting sqref="K30:K31">
    <cfRule type="cellIs" dxfId="674" priority="77" operator="lessThan">
      <formula>0</formula>
    </cfRule>
  </conditionalFormatting>
  <conditionalFormatting sqref="L30:L31">
    <cfRule type="cellIs" dxfId="673" priority="76" operator="lessThan">
      <formula>0</formula>
    </cfRule>
  </conditionalFormatting>
  <conditionalFormatting sqref="K30:K31">
    <cfRule type="cellIs" dxfId="672" priority="75" operator="lessThan">
      <formula>0</formula>
    </cfRule>
  </conditionalFormatting>
  <conditionalFormatting sqref="L30:L31">
    <cfRule type="cellIs" dxfId="671" priority="74" operator="lessThan">
      <formula>0</formula>
    </cfRule>
  </conditionalFormatting>
  <conditionalFormatting sqref="K30:K31">
    <cfRule type="cellIs" dxfId="670" priority="73" operator="lessThan">
      <formula>0</formula>
    </cfRule>
  </conditionalFormatting>
  <conditionalFormatting sqref="L30:L31">
    <cfRule type="cellIs" dxfId="669" priority="72" operator="lessThan">
      <formula>0</formula>
    </cfRule>
  </conditionalFormatting>
  <conditionalFormatting sqref="K30:K31">
    <cfRule type="cellIs" dxfId="668" priority="71" operator="lessThan">
      <formula>0</formula>
    </cfRule>
  </conditionalFormatting>
  <conditionalFormatting sqref="K42">
    <cfRule type="cellIs" dxfId="667" priority="52" operator="lessThan">
      <formula>0</formula>
    </cfRule>
  </conditionalFormatting>
  <conditionalFormatting sqref="L38:L42">
    <cfRule type="cellIs" dxfId="666" priority="69" operator="lessThan">
      <formula>0</formula>
    </cfRule>
  </conditionalFormatting>
  <conditionalFormatting sqref="K38:K42">
    <cfRule type="cellIs" dxfId="665" priority="68" operator="lessThan">
      <formula>0</formula>
    </cfRule>
  </conditionalFormatting>
  <conditionalFormatting sqref="L43">
    <cfRule type="cellIs" dxfId="664" priority="67" operator="lessThan">
      <formula>0</formula>
    </cfRule>
  </conditionalFormatting>
  <conditionalFormatting sqref="K43">
    <cfRule type="cellIs" dxfId="663" priority="66" operator="lessThan">
      <formula>0</formula>
    </cfRule>
  </conditionalFormatting>
  <conditionalFormatting sqref="L42">
    <cfRule type="cellIs" dxfId="662" priority="65" operator="lessThan">
      <formula>0</formula>
    </cfRule>
  </conditionalFormatting>
  <conditionalFormatting sqref="K42">
    <cfRule type="cellIs" dxfId="661" priority="64" operator="lessThan">
      <formula>0</formula>
    </cfRule>
  </conditionalFormatting>
  <conditionalFormatting sqref="L43">
    <cfRule type="cellIs" dxfId="660" priority="63" operator="lessThan">
      <formula>0</formula>
    </cfRule>
  </conditionalFormatting>
  <conditionalFormatting sqref="K43">
    <cfRule type="cellIs" dxfId="659" priority="62" operator="lessThan">
      <formula>0</formula>
    </cfRule>
  </conditionalFormatting>
  <conditionalFormatting sqref="L43">
    <cfRule type="cellIs" dxfId="658" priority="61" operator="lessThan">
      <formula>0</formula>
    </cfRule>
  </conditionalFormatting>
  <conditionalFormatting sqref="K43">
    <cfRule type="cellIs" dxfId="657" priority="60" operator="lessThan">
      <formula>0</formula>
    </cfRule>
  </conditionalFormatting>
  <conditionalFormatting sqref="L42">
    <cfRule type="cellIs" dxfId="656" priority="59" operator="lessThan">
      <formula>0</formula>
    </cfRule>
  </conditionalFormatting>
  <conditionalFormatting sqref="K42">
    <cfRule type="cellIs" dxfId="655" priority="58" operator="lessThan">
      <formula>0</formula>
    </cfRule>
  </conditionalFormatting>
  <conditionalFormatting sqref="L42">
    <cfRule type="cellIs" dxfId="654" priority="57" operator="lessThan">
      <formula>0</formula>
    </cfRule>
  </conditionalFormatting>
  <conditionalFormatting sqref="K42">
    <cfRule type="cellIs" dxfId="653" priority="56" operator="lessThan">
      <formula>0</formula>
    </cfRule>
  </conditionalFormatting>
  <conditionalFormatting sqref="L43">
    <cfRule type="cellIs" dxfId="652" priority="55" operator="lessThan">
      <formula>0</formula>
    </cfRule>
  </conditionalFormatting>
  <conditionalFormatting sqref="K43">
    <cfRule type="cellIs" dxfId="651" priority="54" operator="lessThan">
      <formula>0</formula>
    </cfRule>
  </conditionalFormatting>
  <conditionalFormatting sqref="L42">
    <cfRule type="cellIs" dxfId="650" priority="53" operator="lessThan">
      <formula>0</formula>
    </cfRule>
  </conditionalFormatting>
  <conditionalFormatting sqref="L44:L45">
    <cfRule type="cellIs" dxfId="649" priority="51" operator="lessThan">
      <formula>0</formula>
    </cfRule>
  </conditionalFormatting>
  <conditionalFormatting sqref="K44:K45">
    <cfRule type="cellIs" dxfId="648" priority="50" operator="lessThan">
      <formula>0</formula>
    </cfRule>
  </conditionalFormatting>
  <conditionalFormatting sqref="L44:L45">
    <cfRule type="cellIs" dxfId="647" priority="49" operator="lessThan">
      <formula>0</formula>
    </cfRule>
  </conditionalFormatting>
  <conditionalFormatting sqref="K44:K45">
    <cfRule type="cellIs" dxfId="646" priority="48" operator="lessThan">
      <formula>0</formula>
    </cfRule>
  </conditionalFormatting>
  <conditionalFormatting sqref="L44:L45">
    <cfRule type="cellIs" dxfId="645" priority="47" operator="lessThan">
      <formula>0</formula>
    </cfRule>
  </conditionalFormatting>
  <conditionalFormatting sqref="K44:K45">
    <cfRule type="cellIs" dxfId="644" priority="46" operator="lessThan">
      <formula>0</formula>
    </cfRule>
  </conditionalFormatting>
  <conditionalFormatting sqref="L44:L45">
    <cfRule type="cellIs" dxfId="643" priority="45" operator="lessThan">
      <formula>0</formula>
    </cfRule>
  </conditionalFormatting>
  <conditionalFormatting sqref="K44:K45">
    <cfRule type="cellIs" dxfId="642" priority="44" operator="lessThan">
      <formula>0</formula>
    </cfRule>
  </conditionalFormatting>
  <conditionalFormatting sqref="M38:M45">
    <cfRule type="cellIs" dxfId="641" priority="43" operator="lessThan">
      <formula>1</formula>
    </cfRule>
  </conditionalFormatting>
  <conditionalFormatting sqref="E3:E23">
    <cfRule type="cellIs" dxfId="640" priority="42" operator="lessThan">
      <formula>1</formula>
    </cfRule>
  </conditionalFormatting>
  <conditionalFormatting sqref="E28:E36">
    <cfRule type="cellIs" dxfId="639" priority="41" operator="lessThan">
      <formula>1</formula>
    </cfRule>
  </conditionalFormatting>
  <conditionalFormatting sqref="M32">
    <cfRule type="cellIs" dxfId="638" priority="22" operator="lessThan">
      <formula>1</formula>
    </cfRule>
  </conditionalFormatting>
  <conditionalFormatting sqref="L46">
    <cfRule type="cellIs" dxfId="637" priority="39" operator="lessThan">
      <formula>0</formula>
    </cfRule>
  </conditionalFormatting>
  <conditionalFormatting sqref="K46">
    <cfRule type="cellIs" dxfId="636" priority="38" operator="lessThan">
      <formula>0</formula>
    </cfRule>
  </conditionalFormatting>
  <conditionalFormatting sqref="L46">
    <cfRule type="cellIs" dxfId="635" priority="37" operator="lessThan">
      <formula>0</formula>
    </cfRule>
  </conditionalFormatting>
  <conditionalFormatting sqref="K46">
    <cfRule type="cellIs" dxfId="634" priority="36" operator="lessThan">
      <formula>0</formula>
    </cfRule>
  </conditionalFormatting>
  <conditionalFormatting sqref="L46">
    <cfRule type="cellIs" dxfId="633" priority="35" operator="lessThan">
      <formula>0</formula>
    </cfRule>
  </conditionalFormatting>
  <conditionalFormatting sqref="K46">
    <cfRule type="cellIs" dxfId="632" priority="34" operator="lessThan">
      <formula>0</formula>
    </cfRule>
  </conditionalFormatting>
  <conditionalFormatting sqref="L46">
    <cfRule type="cellIs" dxfId="631" priority="33" operator="lessThan">
      <formula>0</formula>
    </cfRule>
  </conditionalFormatting>
  <conditionalFormatting sqref="K46">
    <cfRule type="cellIs" dxfId="630" priority="32" operator="lessThan">
      <formula>0</formula>
    </cfRule>
  </conditionalFormatting>
  <conditionalFormatting sqref="M46">
    <cfRule type="cellIs" dxfId="629" priority="31" operator="lessThan">
      <formula>1</formula>
    </cfRule>
  </conditionalFormatting>
  <conditionalFormatting sqref="L32">
    <cfRule type="cellIs" dxfId="628" priority="30" operator="lessThan">
      <formula>0</formula>
    </cfRule>
  </conditionalFormatting>
  <conditionalFormatting sqref="K32">
    <cfRule type="cellIs" dxfId="627" priority="29" operator="lessThan">
      <formula>0</formula>
    </cfRule>
  </conditionalFormatting>
  <conditionalFormatting sqref="L32">
    <cfRule type="cellIs" dxfId="626" priority="28" operator="lessThan">
      <formula>0</formula>
    </cfRule>
  </conditionalFormatting>
  <conditionalFormatting sqref="K32">
    <cfRule type="cellIs" dxfId="625" priority="27" operator="lessThan">
      <formula>0</formula>
    </cfRule>
  </conditionalFormatting>
  <conditionalFormatting sqref="L32">
    <cfRule type="cellIs" dxfId="624" priority="26" operator="lessThan">
      <formula>0</formula>
    </cfRule>
  </conditionalFormatting>
  <conditionalFormatting sqref="K32">
    <cfRule type="cellIs" dxfId="623" priority="25" operator="lessThan">
      <formula>0</formula>
    </cfRule>
  </conditionalFormatting>
  <conditionalFormatting sqref="L32">
    <cfRule type="cellIs" dxfId="622" priority="24" operator="lessThan">
      <formula>0</formula>
    </cfRule>
  </conditionalFormatting>
  <conditionalFormatting sqref="K32">
    <cfRule type="cellIs" dxfId="621" priority="23" operator="lessThan">
      <formula>0</formula>
    </cfRule>
  </conditionalFormatting>
  <conditionalFormatting sqref="E52">
    <cfRule type="cellIs" dxfId="620" priority="21" operator="lessThan">
      <formula>1</formula>
    </cfRule>
  </conditionalFormatting>
  <conditionalFormatting sqref="L33">
    <cfRule type="cellIs" dxfId="619" priority="20" operator="lessThan">
      <formula>0</formula>
    </cfRule>
  </conditionalFormatting>
  <conditionalFormatting sqref="K33">
    <cfRule type="cellIs" dxfId="618" priority="19" operator="lessThan">
      <formula>0</formula>
    </cfRule>
  </conditionalFormatting>
  <conditionalFormatting sqref="L33">
    <cfRule type="cellIs" dxfId="617" priority="18" operator="lessThan">
      <formula>0</formula>
    </cfRule>
  </conditionalFormatting>
  <conditionalFormatting sqref="K33">
    <cfRule type="cellIs" dxfId="616" priority="17" operator="lessThan">
      <formula>0</formula>
    </cfRule>
  </conditionalFormatting>
  <conditionalFormatting sqref="L33">
    <cfRule type="cellIs" dxfId="615" priority="16" operator="lessThan">
      <formula>0</formula>
    </cfRule>
  </conditionalFormatting>
  <conditionalFormatting sqref="K33">
    <cfRule type="cellIs" dxfId="614" priority="15" operator="lessThan">
      <formula>0</formula>
    </cfRule>
  </conditionalFormatting>
  <conditionalFormatting sqref="L33">
    <cfRule type="cellIs" dxfId="613" priority="14" operator="lessThan">
      <formula>0</formula>
    </cfRule>
  </conditionalFormatting>
  <conditionalFormatting sqref="K33">
    <cfRule type="cellIs" dxfId="612" priority="13" operator="lessThan">
      <formula>0</formula>
    </cfRule>
  </conditionalFormatting>
  <conditionalFormatting sqref="M33">
    <cfRule type="cellIs" dxfId="611" priority="11" operator="lessThan">
      <formula>1</formula>
    </cfRule>
  </conditionalFormatting>
  <conditionalFormatting sqref="L47">
    <cfRule type="cellIs" dxfId="610" priority="10" operator="lessThan">
      <formula>0</formula>
    </cfRule>
  </conditionalFormatting>
  <conditionalFormatting sqref="K47">
    <cfRule type="cellIs" dxfId="609" priority="9" operator="lessThan">
      <formula>0</formula>
    </cfRule>
  </conditionalFormatting>
  <conditionalFormatting sqref="L47">
    <cfRule type="cellIs" dxfId="608" priority="8" operator="lessThan">
      <formula>0</formula>
    </cfRule>
  </conditionalFormatting>
  <conditionalFormatting sqref="K47">
    <cfRule type="cellIs" dxfId="607" priority="7" operator="lessThan">
      <formula>0</formula>
    </cfRule>
  </conditionalFormatting>
  <conditionalFormatting sqref="L47">
    <cfRule type="cellIs" dxfId="606" priority="6" operator="lessThan">
      <formula>0</formula>
    </cfRule>
  </conditionalFormatting>
  <conditionalFormatting sqref="K47">
    <cfRule type="cellIs" dxfId="605" priority="5" operator="lessThan">
      <formula>0</formula>
    </cfRule>
  </conditionalFormatting>
  <conditionalFormatting sqref="L47">
    <cfRule type="cellIs" dxfId="604" priority="4" operator="lessThan">
      <formula>0</formula>
    </cfRule>
  </conditionalFormatting>
  <conditionalFormatting sqref="K47">
    <cfRule type="cellIs" dxfId="603" priority="3" operator="lessThan">
      <formula>0</formula>
    </cfRule>
  </conditionalFormatting>
  <conditionalFormatting sqref="M47">
    <cfRule type="cellIs" dxfId="602" priority="1" operator="lessThan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Q46"/>
  <sheetViews>
    <sheetView topLeftCell="A29" zoomScaleNormal="100" workbookViewId="0">
      <selection activeCell="E46" sqref="E46"/>
    </sheetView>
  </sheetViews>
  <sheetFormatPr baseColWidth="10" defaultRowHeight="15" x14ac:dyDescent="0.25"/>
  <cols>
    <col min="1" max="1" width="14.42578125" style="2" bestFit="1" customWidth="1"/>
    <col min="2" max="2" width="14.5703125" style="2" bestFit="1" customWidth="1"/>
    <col min="3" max="3" width="14.28515625" style="2" bestFit="1" customWidth="1"/>
    <col min="4" max="4" width="14.5703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24.14062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7" t="s">
        <v>347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3028392</v>
      </c>
      <c r="C4" s="11" t="s">
        <v>50</v>
      </c>
      <c r="D4" s="31">
        <v>131533.12</v>
      </c>
      <c r="E4" s="11" t="s">
        <v>51</v>
      </c>
      <c r="F4" s="11" t="s">
        <v>46</v>
      </c>
      <c r="G4" s="11" t="s">
        <v>126</v>
      </c>
      <c r="H4" s="11" t="s">
        <v>97</v>
      </c>
      <c r="I4" s="11" t="s">
        <v>149</v>
      </c>
      <c r="J4" s="11" t="s">
        <v>150</v>
      </c>
      <c r="K4" s="11" t="s">
        <v>151</v>
      </c>
      <c r="L4" s="11">
        <v>671</v>
      </c>
      <c r="M4" s="11">
        <v>34640</v>
      </c>
      <c r="N4" s="11" t="s">
        <v>38</v>
      </c>
      <c r="O4" s="637">
        <v>40380.667840000002</v>
      </c>
      <c r="P4" s="631">
        <f>O4/D4*100</f>
        <v>30.700000000000006</v>
      </c>
      <c r="Q4" s="630">
        <f>D4/(L4+L5)</f>
        <v>98.012757078986581</v>
      </c>
    </row>
    <row r="5" spans="1:17" ht="25.5" customHeight="1" x14ac:dyDescent="0.25">
      <c r="A5" s="10">
        <v>44473</v>
      </c>
      <c r="B5" s="11">
        <v>2816279</v>
      </c>
      <c r="C5" s="11" t="s">
        <v>9</v>
      </c>
      <c r="D5" s="31">
        <v>0</v>
      </c>
      <c r="E5" s="11"/>
      <c r="F5" s="11" t="s">
        <v>126</v>
      </c>
      <c r="G5" s="11" t="s">
        <v>46</v>
      </c>
      <c r="H5" s="11" t="s">
        <v>97</v>
      </c>
      <c r="I5" s="11" t="s">
        <v>149</v>
      </c>
      <c r="J5" s="11" t="s">
        <v>150</v>
      </c>
      <c r="K5" s="11" t="s">
        <v>151</v>
      </c>
      <c r="L5" s="11">
        <v>671</v>
      </c>
      <c r="M5" s="11">
        <v>0</v>
      </c>
      <c r="N5" s="11" t="s">
        <v>10</v>
      </c>
      <c r="O5" s="638"/>
      <c r="P5" s="631"/>
      <c r="Q5" s="630"/>
    </row>
    <row r="6" spans="1:17" ht="25.5" customHeight="1" x14ac:dyDescent="0.25">
      <c r="A6" s="16">
        <v>44474</v>
      </c>
      <c r="B6" s="17">
        <v>3029875</v>
      </c>
      <c r="C6" s="17" t="s">
        <v>50</v>
      </c>
      <c r="D6" s="34">
        <v>25003.91</v>
      </c>
      <c r="E6" s="17" t="s">
        <v>51</v>
      </c>
      <c r="F6" s="17" t="s">
        <v>46</v>
      </c>
      <c r="G6" s="17" t="s">
        <v>81</v>
      </c>
      <c r="H6" s="17" t="s">
        <v>97</v>
      </c>
      <c r="I6" s="17" t="s">
        <v>149</v>
      </c>
      <c r="J6" s="17" t="s">
        <v>150</v>
      </c>
      <c r="K6" s="17" t="s">
        <v>151</v>
      </c>
      <c r="L6" s="17">
        <v>120</v>
      </c>
      <c r="M6" s="17">
        <v>34360</v>
      </c>
      <c r="N6" s="17" t="s">
        <v>38</v>
      </c>
      <c r="O6" s="644">
        <v>52843.811999999998</v>
      </c>
      <c r="P6" s="629">
        <f>O6/(D6+D8)*100</f>
        <v>30.700000139429761</v>
      </c>
      <c r="Q6" s="628">
        <f>(D6+D8)/(L6+L7+L8+L9)</f>
        <v>100.25025043680839</v>
      </c>
    </row>
    <row r="7" spans="1:17" ht="25.5" customHeight="1" x14ac:dyDescent="0.25">
      <c r="A7" s="16">
        <v>44475</v>
      </c>
      <c r="B7" s="17">
        <v>2816398</v>
      </c>
      <c r="C7" s="17" t="s">
        <v>9</v>
      </c>
      <c r="D7" s="34">
        <v>0</v>
      </c>
      <c r="E7" s="17"/>
      <c r="F7" s="17" t="s">
        <v>81</v>
      </c>
      <c r="G7" s="17" t="s">
        <v>74</v>
      </c>
      <c r="H7" s="17" t="s">
        <v>97</v>
      </c>
      <c r="I7" s="17" t="s">
        <v>149</v>
      </c>
      <c r="J7" s="17" t="s">
        <v>150</v>
      </c>
      <c r="K7" s="17" t="s">
        <v>151</v>
      </c>
      <c r="L7" s="17">
        <v>560</v>
      </c>
      <c r="M7" s="17">
        <v>0</v>
      </c>
      <c r="N7" s="17" t="s">
        <v>10</v>
      </c>
      <c r="O7" s="656"/>
      <c r="P7" s="629"/>
      <c r="Q7" s="628"/>
    </row>
    <row r="8" spans="1:17" ht="25.5" customHeight="1" x14ac:dyDescent="0.25">
      <c r="A8" s="16">
        <v>44476</v>
      </c>
      <c r="B8" s="17">
        <v>3030843</v>
      </c>
      <c r="C8" s="17" t="s">
        <v>50</v>
      </c>
      <c r="D8" s="34">
        <v>147125.76999999999</v>
      </c>
      <c r="E8" s="17" t="s">
        <v>75</v>
      </c>
      <c r="F8" s="17" t="s">
        <v>74</v>
      </c>
      <c r="G8" s="17" t="s">
        <v>96</v>
      </c>
      <c r="H8" s="17" t="s">
        <v>97</v>
      </c>
      <c r="I8" s="17" t="s">
        <v>149</v>
      </c>
      <c r="J8" s="17" t="s">
        <v>150</v>
      </c>
      <c r="K8" s="17" t="s">
        <v>151</v>
      </c>
      <c r="L8" s="17">
        <v>805</v>
      </c>
      <c r="M8" s="17">
        <v>34350</v>
      </c>
      <c r="N8" s="17" t="s">
        <v>38</v>
      </c>
      <c r="O8" s="656"/>
      <c r="P8" s="629"/>
      <c r="Q8" s="628"/>
    </row>
    <row r="9" spans="1:17" ht="25.5" customHeight="1" x14ac:dyDescent="0.25">
      <c r="A9" s="16">
        <v>44479</v>
      </c>
      <c r="B9" s="17">
        <v>2816399</v>
      </c>
      <c r="C9" s="17" t="s">
        <v>9</v>
      </c>
      <c r="D9" s="34">
        <v>0</v>
      </c>
      <c r="E9" s="17"/>
      <c r="F9" s="17" t="s">
        <v>96</v>
      </c>
      <c r="G9" s="17" t="s">
        <v>46</v>
      </c>
      <c r="H9" s="17" t="s">
        <v>97</v>
      </c>
      <c r="I9" s="17" t="s">
        <v>149</v>
      </c>
      <c r="J9" s="17" t="s">
        <v>150</v>
      </c>
      <c r="K9" s="17" t="s">
        <v>151</v>
      </c>
      <c r="L9" s="17">
        <v>232</v>
      </c>
      <c r="M9" s="17">
        <v>0</v>
      </c>
      <c r="N9" s="17" t="s">
        <v>10</v>
      </c>
      <c r="O9" s="645"/>
      <c r="P9" s="629"/>
      <c r="Q9" s="628"/>
    </row>
    <row r="10" spans="1:17" ht="25.5" customHeight="1" x14ac:dyDescent="0.25">
      <c r="A10" s="12">
        <v>44481</v>
      </c>
      <c r="B10" s="13">
        <v>3032259</v>
      </c>
      <c r="C10" s="13" t="s">
        <v>50</v>
      </c>
      <c r="D10" s="33">
        <v>108395.6</v>
      </c>
      <c r="E10" s="13" t="s">
        <v>68</v>
      </c>
      <c r="F10" s="13" t="s">
        <v>46</v>
      </c>
      <c r="G10" s="13" t="s">
        <v>148</v>
      </c>
      <c r="H10" s="13" t="s">
        <v>97</v>
      </c>
      <c r="I10" s="13" t="s">
        <v>149</v>
      </c>
      <c r="J10" s="13" t="s">
        <v>150</v>
      </c>
      <c r="K10" s="13" t="s">
        <v>151</v>
      </c>
      <c r="L10" s="13">
        <v>560</v>
      </c>
      <c r="M10" s="13">
        <v>34620</v>
      </c>
      <c r="N10" s="13" t="s">
        <v>38</v>
      </c>
      <c r="O10" s="640">
        <v>33277.449200000003</v>
      </c>
      <c r="P10" s="635">
        <f>O10/D10*100</f>
        <v>30.7</v>
      </c>
      <c r="Q10" s="634">
        <f>D10/(L10+L11)</f>
        <v>96.781785714285718</v>
      </c>
    </row>
    <row r="11" spans="1:17" ht="25.5" customHeight="1" x14ac:dyDescent="0.25">
      <c r="A11" s="12">
        <v>44482</v>
      </c>
      <c r="B11" s="13">
        <v>2816494</v>
      </c>
      <c r="C11" s="13" t="s">
        <v>9</v>
      </c>
      <c r="D11" s="33">
        <v>0</v>
      </c>
      <c r="E11" s="13"/>
      <c r="F11" s="13" t="s">
        <v>148</v>
      </c>
      <c r="G11" s="13" t="s">
        <v>46</v>
      </c>
      <c r="H11" s="13" t="s">
        <v>97</v>
      </c>
      <c r="I11" s="13" t="s">
        <v>149</v>
      </c>
      <c r="J11" s="13" t="s">
        <v>150</v>
      </c>
      <c r="K11" s="13" t="s">
        <v>151</v>
      </c>
      <c r="L11" s="13">
        <v>560</v>
      </c>
      <c r="M11" s="13">
        <v>0</v>
      </c>
      <c r="N11" s="13" t="s">
        <v>10</v>
      </c>
      <c r="O11" s="642"/>
      <c r="P11" s="635"/>
      <c r="Q11" s="634"/>
    </row>
    <row r="12" spans="1:17" ht="25.5" customHeight="1" x14ac:dyDescent="0.25">
      <c r="A12" s="14">
        <v>44483</v>
      </c>
      <c r="B12" s="15">
        <v>3033474</v>
      </c>
      <c r="C12" s="15" t="s">
        <v>50</v>
      </c>
      <c r="D12" s="35">
        <v>107957.27</v>
      </c>
      <c r="E12" s="15" t="s">
        <v>68</v>
      </c>
      <c r="F12" s="15" t="s">
        <v>46</v>
      </c>
      <c r="G12" s="15" t="s">
        <v>148</v>
      </c>
      <c r="H12" s="15" t="s">
        <v>97</v>
      </c>
      <c r="I12" s="15" t="s">
        <v>149</v>
      </c>
      <c r="J12" s="15" t="s">
        <v>150</v>
      </c>
      <c r="K12" s="15" t="s">
        <v>151</v>
      </c>
      <c r="L12" s="15">
        <v>560</v>
      </c>
      <c r="M12" s="15">
        <v>34480</v>
      </c>
      <c r="N12" s="15" t="s">
        <v>38</v>
      </c>
      <c r="O12" s="647">
        <v>33142.881889999997</v>
      </c>
      <c r="P12" s="633">
        <f>O12/D12*100</f>
        <v>30.699999999999996</v>
      </c>
      <c r="Q12" s="632">
        <f>D12/(L12+L13)</f>
        <v>96.39041964285714</v>
      </c>
    </row>
    <row r="13" spans="1:17" ht="25.5" customHeight="1" x14ac:dyDescent="0.25">
      <c r="A13" s="14">
        <v>44484</v>
      </c>
      <c r="B13" s="15">
        <v>2816510</v>
      </c>
      <c r="C13" s="15" t="s">
        <v>9</v>
      </c>
      <c r="D13" s="35">
        <v>0</v>
      </c>
      <c r="E13" s="15"/>
      <c r="F13" s="15" t="s">
        <v>148</v>
      </c>
      <c r="G13" s="15" t="s">
        <v>46</v>
      </c>
      <c r="H13" s="15" t="s">
        <v>97</v>
      </c>
      <c r="I13" s="15" t="s">
        <v>149</v>
      </c>
      <c r="J13" s="15" t="s">
        <v>150</v>
      </c>
      <c r="K13" s="15" t="s">
        <v>151</v>
      </c>
      <c r="L13" s="15">
        <v>560</v>
      </c>
      <c r="M13" s="15">
        <v>0</v>
      </c>
      <c r="N13" s="15" t="s">
        <v>10</v>
      </c>
      <c r="O13" s="648"/>
      <c r="P13" s="633"/>
      <c r="Q13" s="632"/>
    </row>
    <row r="14" spans="1:17" ht="25.5" customHeight="1" x14ac:dyDescent="0.25">
      <c r="A14" s="10">
        <v>44486</v>
      </c>
      <c r="B14" s="11">
        <v>3034581</v>
      </c>
      <c r="C14" s="11" t="s">
        <v>50</v>
      </c>
      <c r="D14" s="31">
        <v>131457.18</v>
      </c>
      <c r="E14" s="11" t="s">
        <v>68</v>
      </c>
      <c r="F14" s="11" t="s">
        <v>46</v>
      </c>
      <c r="G14" s="11" t="s">
        <v>126</v>
      </c>
      <c r="H14" s="11" t="s">
        <v>97</v>
      </c>
      <c r="I14" s="11" t="s">
        <v>149</v>
      </c>
      <c r="J14" s="11" t="s">
        <v>150</v>
      </c>
      <c r="K14" s="11" t="s">
        <v>151</v>
      </c>
      <c r="L14" s="11">
        <v>671</v>
      </c>
      <c r="M14" s="11">
        <v>34620</v>
      </c>
      <c r="N14" s="11" t="s">
        <v>38</v>
      </c>
      <c r="O14" s="637">
        <v>40357.35426</v>
      </c>
      <c r="P14" s="631">
        <f>O14/D14*100</f>
        <v>30.7</v>
      </c>
      <c r="Q14" s="630">
        <f>D14/(L14+L15)</f>
        <v>97.956169895678087</v>
      </c>
    </row>
    <row r="15" spans="1:17" ht="25.5" customHeight="1" x14ac:dyDescent="0.25">
      <c r="A15" s="10">
        <v>44487</v>
      </c>
      <c r="B15" s="11">
        <v>2816529</v>
      </c>
      <c r="C15" s="11" t="s">
        <v>9</v>
      </c>
      <c r="D15" s="31">
        <v>0</v>
      </c>
      <c r="E15" s="11"/>
      <c r="F15" s="11" t="s">
        <v>126</v>
      </c>
      <c r="G15" s="11" t="s">
        <v>46</v>
      </c>
      <c r="H15" s="11" t="s">
        <v>97</v>
      </c>
      <c r="I15" s="11" t="s">
        <v>149</v>
      </c>
      <c r="J15" s="11" t="s">
        <v>150</v>
      </c>
      <c r="K15" s="11" t="s">
        <v>151</v>
      </c>
      <c r="L15" s="11">
        <v>671</v>
      </c>
      <c r="M15" s="11">
        <v>0</v>
      </c>
      <c r="N15" s="11" t="s">
        <v>10</v>
      </c>
      <c r="O15" s="638"/>
      <c r="P15" s="631"/>
      <c r="Q15" s="630"/>
    </row>
    <row r="16" spans="1:17" ht="25.5" customHeight="1" x14ac:dyDescent="0.25">
      <c r="A16" s="16">
        <v>44488</v>
      </c>
      <c r="B16" s="17">
        <v>3035432</v>
      </c>
      <c r="C16" s="17" t="s">
        <v>50</v>
      </c>
      <c r="D16" s="34">
        <v>25236.79</v>
      </c>
      <c r="E16" s="17" t="s">
        <v>68</v>
      </c>
      <c r="F16" s="17" t="s">
        <v>46</v>
      </c>
      <c r="G16" s="17" t="s">
        <v>81</v>
      </c>
      <c r="H16" s="17" t="s">
        <v>97</v>
      </c>
      <c r="I16" s="17" t="s">
        <v>149</v>
      </c>
      <c r="J16" s="17" t="s">
        <v>150</v>
      </c>
      <c r="K16" s="17" t="s">
        <v>151</v>
      </c>
      <c r="L16" s="17">
        <v>120</v>
      </c>
      <c r="M16" s="17">
        <v>34680</v>
      </c>
      <c r="N16" s="17" t="s">
        <v>38</v>
      </c>
      <c r="O16" s="644">
        <v>7747.6945299999998</v>
      </c>
      <c r="P16" s="629">
        <f>O16/D16*100</f>
        <v>30.7</v>
      </c>
      <c r="Q16" s="628">
        <f>D16/(L16+L17)</f>
        <v>105.15329166666668</v>
      </c>
    </row>
    <row r="17" spans="1:17" ht="25.5" customHeight="1" x14ac:dyDescent="0.25">
      <c r="A17" s="16">
        <v>44488</v>
      </c>
      <c r="B17" s="17">
        <v>2816570</v>
      </c>
      <c r="C17" s="17" t="s">
        <v>9</v>
      </c>
      <c r="D17" s="34">
        <v>0</v>
      </c>
      <c r="E17" s="17"/>
      <c r="F17" s="17" t="s">
        <v>81</v>
      </c>
      <c r="G17" s="17" t="s">
        <v>46</v>
      </c>
      <c r="H17" s="17" t="s">
        <v>97</v>
      </c>
      <c r="I17" s="17" t="s">
        <v>149</v>
      </c>
      <c r="J17" s="17" t="s">
        <v>150</v>
      </c>
      <c r="K17" s="17" t="s">
        <v>151</v>
      </c>
      <c r="L17" s="17">
        <v>120</v>
      </c>
      <c r="M17" s="17">
        <v>0</v>
      </c>
      <c r="N17" s="17" t="s">
        <v>10</v>
      </c>
      <c r="O17" s="645"/>
      <c r="P17" s="629"/>
      <c r="Q17" s="628"/>
    </row>
    <row r="18" spans="1:17" ht="25.5" customHeight="1" x14ac:dyDescent="0.25">
      <c r="A18" s="74">
        <v>44488</v>
      </c>
      <c r="B18" s="75">
        <v>3036134</v>
      </c>
      <c r="C18" s="75" t="s">
        <v>50</v>
      </c>
      <c r="D18" s="76">
        <v>130469.92</v>
      </c>
      <c r="E18" s="75" t="s">
        <v>68</v>
      </c>
      <c r="F18" s="75" t="s">
        <v>46</v>
      </c>
      <c r="G18" s="75" t="s">
        <v>126</v>
      </c>
      <c r="H18" s="75" t="s">
        <v>97</v>
      </c>
      <c r="I18" s="75" t="s">
        <v>149</v>
      </c>
      <c r="J18" s="75" t="s">
        <v>150</v>
      </c>
      <c r="K18" s="75" t="s">
        <v>151</v>
      </c>
      <c r="L18" s="75">
        <v>671</v>
      </c>
      <c r="M18" s="75">
        <v>34360</v>
      </c>
      <c r="N18" s="75" t="s">
        <v>38</v>
      </c>
      <c r="O18" s="654">
        <v>40054.265440000003</v>
      </c>
      <c r="P18" s="635">
        <f>O18/D18*100</f>
        <v>30.700000000000006</v>
      </c>
      <c r="Q18" s="634">
        <f>D18/(L18+L19)</f>
        <v>97.220506706408344</v>
      </c>
    </row>
    <row r="19" spans="1:17" ht="25.5" customHeight="1" x14ac:dyDescent="0.25">
      <c r="A19" s="74">
        <v>44490</v>
      </c>
      <c r="B19" s="75">
        <v>2816569</v>
      </c>
      <c r="C19" s="75" t="s">
        <v>9</v>
      </c>
      <c r="D19" s="76">
        <v>0</v>
      </c>
      <c r="E19" s="75"/>
      <c r="F19" s="75" t="s">
        <v>126</v>
      </c>
      <c r="G19" s="75" t="s">
        <v>46</v>
      </c>
      <c r="H19" s="75" t="s">
        <v>97</v>
      </c>
      <c r="I19" s="75" t="s">
        <v>149</v>
      </c>
      <c r="J19" s="75" t="s">
        <v>150</v>
      </c>
      <c r="K19" s="75" t="s">
        <v>151</v>
      </c>
      <c r="L19" s="75">
        <v>671</v>
      </c>
      <c r="M19" s="75">
        <v>0</v>
      </c>
      <c r="N19" s="75" t="s">
        <v>10</v>
      </c>
      <c r="O19" s="655"/>
      <c r="P19" s="635"/>
      <c r="Q19" s="634"/>
    </row>
    <row r="20" spans="1:17" ht="25.5" customHeight="1" x14ac:dyDescent="0.25">
      <c r="A20" s="14">
        <v>44490</v>
      </c>
      <c r="B20" s="15">
        <v>3037205</v>
      </c>
      <c r="C20" s="15" t="s">
        <v>50</v>
      </c>
      <c r="D20" s="35">
        <v>25193.119999999999</v>
      </c>
      <c r="E20" s="15" t="s">
        <v>68</v>
      </c>
      <c r="F20" s="15" t="s">
        <v>46</v>
      </c>
      <c r="G20" s="15" t="s">
        <v>81</v>
      </c>
      <c r="H20" s="15" t="s">
        <v>97</v>
      </c>
      <c r="I20" s="15" t="s">
        <v>149</v>
      </c>
      <c r="J20" s="15" t="s">
        <v>150</v>
      </c>
      <c r="K20" s="15" t="s">
        <v>151</v>
      </c>
      <c r="L20" s="15">
        <v>120</v>
      </c>
      <c r="M20" s="15">
        <v>34620</v>
      </c>
      <c r="N20" s="15" t="s">
        <v>38</v>
      </c>
      <c r="O20" s="647">
        <v>7734.28784</v>
      </c>
      <c r="P20" s="633">
        <f>O20/D20*100</f>
        <v>30.7</v>
      </c>
      <c r="Q20" s="632">
        <f>D20/(L20+L21)</f>
        <v>104.97133333333333</v>
      </c>
    </row>
    <row r="21" spans="1:17" ht="25.5" customHeight="1" x14ac:dyDescent="0.25">
      <c r="A21" s="14">
        <v>44491</v>
      </c>
      <c r="B21" s="15">
        <v>2816571</v>
      </c>
      <c r="C21" s="15" t="s">
        <v>9</v>
      </c>
      <c r="D21" s="35">
        <v>0</v>
      </c>
      <c r="E21" s="15"/>
      <c r="F21" s="15" t="s">
        <v>81</v>
      </c>
      <c r="G21" s="15" t="s">
        <v>46</v>
      </c>
      <c r="H21" s="15" t="s">
        <v>97</v>
      </c>
      <c r="I21" s="15" t="s">
        <v>149</v>
      </c>
      <c r="J21" s="15" t="s">
        <v>150</v>
      </c>
      <c r="K21" s="15" t="s">
        <v>151</v>
      </c>
      <c r="L21" s="15">
        <v>120</v>
      </c>
      <c r="M21" s="15">
        <v>0</v>
      </c>
      <c r="N21" s="15" t="s">
        <v>10</v>
      </c>
      <c r="O21" s="648"/>
      <c r="P21" s="633"/>
      <c r="Q21" s="632"/>
    </row>
    <row r="22" spans="1:17" ht="25.5" customHeight="1" x14ac:dyDescent="0.25">
      <c r="A22" s="10">
        <v>44492</v>
      </c>
      <c r="B22" s="11">
        <v>3038428</v>
      </c>
      <c r="C22" s="11" t="s">
        <v>50</v>
      </c>
      <c r="D22" s="31">
        <v>130469.92</v>
      </c>
      <c r="E22" s="11" t="s">
        <v>68</v>
      </c>
      <c r="F22" s="11" t="s">
        <v>46</v>
      </c>
      <c r="G22" s="11" t="s">
        <v>126</v>
      </c>
      <c r="H22" s="11" t="s">
        <v>97</v>
      </c>
      <c r="I22" s="11" t="s">
        <v>149</v>
      </c>
      <c r="J22" s="11" t="s">
        <v>150</v>
      </c>
      <c r="K22" s="11" t="s">
        <v>151</v>
      </c>
      <c r="L22" s="11">
        <v>671</v>
      </c>
      <c r="M22" s="11">
        <v>34360</v>
      </c>
      <c r="N22" s="11" t="s">
        <v>38</v>
      </c>
      <c r="O22" s="637">
        <v>40054.265440000003</v>
      </c>
      <c r="P22" s="631">
        <f>O22/D22*100</f>
        <v>30.700000000000006</v>
      </c>
      <c r="Q22" s="630">
        <f>D22/(L22+L23)</f>
        <v>97.220506706408344</v>
      </c>
    </row>
    <row r="23" spans="1:17" ht="25.5" customHeight="1" x14ac:dyDescent="0.25">
      <c r="A23" s="10">
        <v>44494</v>
      </c>
      <c r="B23" s="11">
        <v>2816596</v>
      </c>
      <c r="C23" s="11" t="s">
        <v>9</v>
      </c>
      <c r="D23" s="31">
        <v>0</v>
      </c>
      <c r="E23" s="11"/>
      <c r="F23" s="11" t="s">
        <v>126</v>
      </c>
      <c r="G23" s="11" t="s">
        <v>46</v>
      </c>
      <c r="H23" s="11" t="s">
        <v>97</v>
      </c>
      <c r="I23" s="11" t="s">
        <v>149</v>
      </c>
      <c r="J23" s="11" t="s">
        <v>150</v>
      </c>
      <c r="K23" s="11" t="s">
        <v>151</v>
      </c>
      <c r="L23" s="11">
        <v>671</v>
      </c>
      <c r="M23" s="11">
        <v>0</v>
      </c>
      <c r="N23" s="11" t="s">
        <v>10</v>
      </c>
      <c r="O23" s="638"/>
      <c r="P23" s="631"/>
      <c r="Q23" s="630"/>
    </row>
    <row r="24" spans="1:17" ht="25.5" customHeight="1" x14ac:dyDescent="0.25">
      <c r="A24" s="16">
        <v>44495</v>
      </c>
      <c r="B24" s="17">
        <v>3039918</v>
      </c>
      <c r="C24" s="17" t="s">
        <v>50</v>
      </c>
      <c r="D24" s="34">
        <v>131912.82999999999</v>
      </c>
      <c r="E24" s="17" t="s">
        <v>68</v>
      </c>
      <c r="F24" s="17" t="s">
        <v>46</v>
      </c>
      <c r="G24" s="17" t="s">
        <v>126</v>
      </c>
      <c r="H24" s="17" t="s">
        <v>97</v>
      </c>
      <c r="I24" s="17" t="s">
        <v>149</v>
      </c>
      <c r="J24" s="17" t="s">
        <v>150</v>
      </c>
      <c r="K24" s="17" t="s">
        <v>151</v>
      </c>
      <c r="L24" s="17">
        <v>671</v>
      </c>
      <c r="M24" s="17">
        <v>34740</v>
      </c>
      <c r="N24" s="17" t="s">
        <v>38</v>
      </c>
      <c r="O24" s="644">
        <v>40497.238810000003</v>
      </c>
      <c r="P24" s="629">
        <f>O24/D24*100</f>
        <v>30.700000000000006</v>
      </c>
      <c r="Q24" s="628">
        <f>D24/(L24+L25)</f>
        <v>98.295700447093878</v>
      </c>
    </row>
    <row r="25" spans="1:17" ht="25.5" customHeight="1" x14ac:dyDescent="0.25">
      <c r="A25" s="16">
        <v>44496</v>
      </c>
      <c r="B25" s="17">
        <v>2816625</v>
      </c>
      <c r="C25" s="17" t="s">
        <v>9</v>
      </c>
      <c r="D25" s="34">
        <v>0</v>
      </c>
      <c r="E25" s="17"/>
      <c r="F25" s="17" t="s">
        <v>126</v>
      </c>
      <c r="G25" s="17" t="s">
        <v>46</v>
      </c>
      <c r="H25" s="17" t="s">
        <v>97</v>
      </c>
      <c r="I25" s="17" t="s">
        <v>149</v>
      </c>
      <c r="J25" s="17" t="s">
        <v>150</v>
      </c>
      <c r="K25" s="17" t="s">
        <v>151</v>
      </c>
      <c r="L25" s="17">
        <v>671</v>
      </c>
      <c r="M25" s="17">
        <v>0</v>
      </c>
      <c r="N25" s="17" t="s">
        <v>10</v>
      </c>
      <c r="O25" s="645"/>
      <c r="P25" s="629"/>
      <c r="Q25" s="628"/>
    </row>
    <row r="26" spans="1:17" ht="25.5" customHeight="1" x14ac:dyDescent="0.25">
      <c r="A26" s="12">
        <v>44497</v>
      </c>
      <c r="B26" s="13">
        <v>3041305</v>
      </c>
      <c r="C26" s="13" t="s">
        <v>50</v>
      </c>
      <c r="D26" s="33">
        <v>130849.63</v>
      </c>
      <c r="E26" s="13" t="s">
        <v>68</v>
      </c>
      <c r="F26" s="13" t="s">
        <v>46</v>
      </c>
      <c r="G26" s="13" t="s">
        <v>126</v>
      </c>
      <c r="H26" s="13" t="s">
        <v>97</v>
      </c>
      <c r="I26" s="13" t="s">
        <v>149</v>
      </c>
      <c r="J26" s="13" t="s">
        <v>150</v>
      </c>
      <c r="K26" s="13" t="s">
        <v>151</v>
      </c>
      <c r="L26" s="13">
        <v>671</v>
      </c>
      <c r="M26" s="13">
        <v>34460</v>
      </c>
      <c r="N26" s="13" t="s">
        <v>38</v>
      </c>
      <c r="O26" s="640">
        <v>40170.836410000004</v>
      </c>
      <c r="P26" s="635">
        <f>O26/D26*100</f>
        <v>30.7</v>
      </c>
      <c r="Q26" s="634">
        <f>D26/(L26+L27)</f>
        <v>97.503450074515655</v>
      </c>
    </row>
    <row r="27" spans="1:17" ht="25.5" customHeight="1" x14ac:dyDescent="0.25">
      <c r="A27" s="12">
        <v>44498</v>
      </c>
      <c r="B27" s="13">
        <v>2816635</v>
      </c>
      <c r="C27" s="13" t="s">
        <v>9</v>
      </c>
      <c r="D27" s="33">
        <v>0</v>
      </c>
      <c r="E27" s="13"/>
      <c r="F27" s="13" t="s">
        <v>126</v>
      </c>
      <c r="G27" s="13" t="s">
        <v>46</v>
      </c>
      <c r="H27" s="13" t="s">
        <v>97</v>
      </c>
      <c r="I27" s="13" t="s">
        <v>149</v>
      </c>
      <c r="J27" s="13" t="s">
        <v>150</v>
      </c>
      <c r="K27" s="13" t="s">
        <v>151</v>
      </c>
      <c r="L27" s="13">
        <v>671</v>
      </c>
      <c r="M27" s="13">
        <v>0</v>
      </c>
      <c r="N27" s="13" t="s">
        <v>10</v>
      </c>
      <c r="O27" s="642"/>
      <c r="P27" s="635"/>
      <c r="Q27" s="634"/>
    </row>
    <row r="28" spans="1:17" ht="25.5" customHeight="1" x14ac:dyDescent="0.25">
      <c r="A28" s="6">
        <v>44498</v>
      </c>
      <c r="B28" s="7">
        <v>3042336</v>
      </c>
      <c r="C28" s="7" t="s">
        <v>50</v>
      </c>
      <c r="D28" s="8">
        <v>130697.74</v>
      </c>
      <c r="E28" s="7" t="s">
        <v>68</v>
      </c>
      <c r="F28" s="7" t="s">
        <v>46</v>
      </c>
      <c r="G28" s="7" t="s">
        <v>126</v>
      </c>
      <c r="H28" s="7" t="s">
        <v>97</v>
      </c>
      <c r="I28" s="7" t="s">
        <v>149</v>
      </c>
      <c r="J28" s="7" t="s">
        <v>150</v>
      </c>
      <c r="K28" s="7" t="s">
        <v>151</v>
      </c>
      <c r="L28" s="7">
        <v>671</v>
      </c>
      <c r="M28" s="7">
        <v>34420</v>
      </c>
      <c r="N28" s="7" t="s">
        <v>38</v>
      </c>
      <c r="O28" s="8">
        <v>40124.206180000001</v>
      </c>
      <c r="P28" s="64">
        <f>O28/D28*100</f>
        <v>30.7</v>
      </c>
      <c r="Q28" s="24">
        <f>D28/L28</f>
        <v>194.78053651266768</v>
      </c>
    </row>
    <row r="29" spans="1:17" x14ac:dyDescent="0.25">
      <c r="A29" s="9"/>
      <c r="B29" s="9"/>
      <c r="C29" s="9"/>
      <c r="D29" s="18">
        <f>SUM(D4:D28)</f>
        <v>1356302.8</v>
      </c>
      <c r="E29" s="9"/>
      <c r="F29" s="9"/>
      <c r="G29" s="9"/>
      <c r="H29" s="9"/>
      <c r="I29" s="9"/>
      <c r="J29" s="9"/>
      <c r="K29" s="9"/>
      <c r="L29" s="9">
        <f>SUM(L4:L28)</f>
        <v>13160</v>
      </c>
      <c r="M29" s="9"/>
      <c r="N29" s="9"/>
      <c r="O29" s="24">
        <f>SUM(O4:O28)</f>
        <v>416384.95983999997</v>
      </c>
      <c r="P29" s="64">
        <f>O29/D29*100</f>
        <v>30.70000001769516</v>
      </c>
      <c r="Q29" s="26">
        <f>D29/L29</f>
        <v>103.06252279635258</v>
      </c>
    </row>
    <row r="31" spans="1:17" ht="15" customHeight="1" x14ac:dyDescent="0.25">
      <c r="A31" s="36" t="s">
        <v>322</v>
      </c>
      <c r="B31" s="36" t="s">
        <v>323</v>
      </c>
      <c r="C31" s="36" t="s">
        <v>324</v>
      </c>
      <c r="D31" s="36" t="s">
        <v>325</v>
      </c>
      <c r="F31" s="37" t="s">
        <v>326</v>
      </c>
      <c r="G31" s="37" t="s">
        <v>327</v>
      </c>
      <c r="H31" s="37" t="s">
        <v>328</v>
      </c>
      <c r="I31" s="38"/>
    </row>
    <row r="32" spans="1:17" x14ac:dyDescent="0.25">
      <c r="A32" s="39">
        <f>D29/L29</f>
        <v>103.06252279635258</v>
      </c>
      <c r="B32" s="40">
        <f>COMBUSTIBLE!C88</f>
        <v>5108.03</v>
      </c>
      <c r="C32" s="41">
        <f>B32/L29*100</f>
        <v>38.814817629179323</v>
      </c>
      <c r="D32" s="42">
        <f>B38/B32</f>
        <v>69.102545406088709</v>
      </c>
      <c r="F32" s="43">
        <f>+B38/D29</f>
        <v>0.26025005257724404</v>
      </c>
      <c r="G32" s="43">
        <f>B43/D29</f>
        <v>0.2633180403335702</v>
      </c>
      <c r="H32" s="44"/>
      <c r="I32" s="38"/>
    </row>
    <row r="33" spans="1:17" x14ac:dyDescent="0.25">
      <c r="C33" s="2" t="s">
        <v>1224</v>
      </c>
      <c r="F33" s="38"/>
      <c r="G33" s="38"/>
      <c r="H33" s="38"/>
      <c r="I33" s="38"/>
    </row>
    <row r="34" spans="1:17" x14ac:dyDescent="0.25">
      <c r="A34" s="36"/>
      <c r="B34" s="36" t="s">
        <v>329</v>
      </c>
      <c r="C34" s="36" t="s">
        <v>330</v>
      </c>
      <c r="D34" s="36" t="s">
        <v>151</v>
      </c>
      <c r="K34" s="25"/>
      <c r="L34" s="29"/>
      <c r="M34" s="25"/>
      <c r="O34" s="2"/>
      <c r="P34" s="2"/>
      <c r="Q34" s="2"/>
    </row>
    <row r="35" spans="1:17" x14ac:dyDescent="0.25">
      <c r="A35" s="7" t="s">
        <v>331</v>
      </c>
      <c r="B35" s="24">
        <f>D29</f>
        <v>1356302.8</v>
      </c>
      <c r="C35" s="45">
        <f>B36</f>
        <v>416384.95983999997</v>
      </c>
      <c r="D35" s="46">
        <f>C35/B35</f>
        <v>0.30700000017695162</v>
      </c>
      <c r="K35" s="25"/>
      <c r="L35" s="29"/>
      <c r="M35" s="25"/>
      <c r="O35" s="2"/>
      <c r="P35" s="2"/>
      <c r="Q35" s="2"/>
    </row>
    <row r="36" spans="1:17" x14ac:dyDescent="0.25">
      <c r="A36" s="47" t="s">
        <v>27</v>
      </c>
      <c r="B36" s="24">
        <f>O29</f>
        <v>416384.95983999997</v>
      </c>
      <c r="C36" s="9"/>
    </row>
    <row r="37" spans="1:17" x14ac:dyDescent="0.25">
      <c r="A37" s="48" t="s">
        <v>332</v>
      </c>
      <c r="B37" s="49">
        <f>(10*(78578.313+12454.55))/(150000+80000)*L29</f>
        <v>52086.629438260868</v>
      </c>
      <c r="C37" s="49">
        <f>(12*(78578.313+12454.55))/(150000+80000)*L29</f>
        <v>62503.955325913041</v>
      </c>
    </row>
    <row r="38" spans="1:17" x14ac:dyDescent="0.25">
      <c r="A38" s="48" t="s">
        <v>333</v>
      </c>
      <c r="B38" s="24">
        <f>COMBUSTIBLE!J88</f>
        <v>352977.87501066329</v>
      </c>
      <c r="C38" s="9"/>
    </row>
    <row r="39" spans="1:17" x14ac:dyDescent="0.25">
      <c r="A39" s="48" t="s">
        <v>334</v>
      </c>
      <c r="B39" s="24"/>
      <c r="C39" s="9"/>
    </row>
    <row r="40" spans="1:17" x14ac:dyDescent="0.25">
      <c r="A40" s="48" t="s">
        <v>335</v>
      </c>
      <c r="B40" s="24">
        <f>'PATENTE PROVINCIAL'!N17</f>
        <v>3277.5</v>
      </c>
      <c r="C40" s="42"/>
    </row>
    <row r="41" spans="1:17" x14ac:dyDescent="0.25">
      <c r="A41" s="48" t="s">
        <v>336</v>
      </c>
      <c r="B41" s="24">
        <f>'PATENTE MUNICIPAL'!I17</f>
        <v>4585.663333333333</v>
      </c>
      <c r="C41" s="42">
        <f>'PATENTE MUNICIPAL'!I56</f>
        <v>20.833333333333332</v>
      </c>
    </row>
    <row r="42" spans="1:17" x14ac:dyDescent="0.25">
      <c r="A42" s="48" t="s">
        <v>337</v>
      </c>
      <c r="B42" s="24">
        <f>SEGURO!K17</f>
        <v>1110.2246609740671</v>
      </c>
      <c r="C42" s="42">
        <f>SEGURO!K60</f>
        <v>261.09831688804553</v>
      </c>
    </row>
    <row r="43" spans="1:17" x14ac:dyDescent="0.25">
      <c r="A43" s="48" t="s">
        <v>338</v>
      </c>
      <c r="B43" s="24">
        <f>L29*SUELDOS!Z11</f>
        <v>357138.9953949342</v>
      </c>
      <c r="C43" s="42"/>
      <c r="D43" s="50">
        <f>B43/L29</f>
        <v>27.138221534569468</v>
      </c>
    </row>
    <row r="44" spans="1:17" x14ac:dyDescent="0.25">
      <c r="A44" s="48" t="s">
        <v>339</v>
      </c>
      <c r="B44" s="24">
        <f>'GASTOS TRACTOR'!H150</f>
        <v>26707.600200000001</v>
      </c>
      <c r="C44" s="42"/>
    </row>
    <row r="45" spans="1:17" x14ac:dyDescent="0.25">
      <c r="A45" s="48" t="s">
        <v>340</v>
      </c>
      <c r="B45" s="24">
        <f>SUM(B37:B44)</f>
        <v>797884.48803816573</v>
      </c>
      <c r="C45" s="51">
        <f>SUM(C37:C44)</f>
        <v>62785.886976134425</v>
      </c>
    </row>
    <row r="46" spans="1:17" x14ac:dyDescent="0.25">
      <c r="A46" s="36" t="s">
        <v>341</v>
      </c>
      <c r="B46" s="52">
        <f>B35-B36-B45</f>
        <v>142033.35212183441</v>
      </c>
      <c r="C46" s="53">
        <f>C35-C36-C45</f>
        <v>353599.07286386553</v>
      </c>
      <c r="D46" s="52">
        <f>+B46+C46</f>
        <v>495632.42498569994</v>
      </c>
    </row>
  </sheetData>
  <sortState xmlns:xlrd2="http://schemas.microsoft.com/office/spreadsheetml/2017/richdata2" ref="A2:P27">
    <sortCondition ref="A1"/>
  </sortState>
  <mergeCells count="34">
    <mergeCell ref="Q4:Q5"/>
    <mergeCell ref="P4:P5"/>
    <mergeCell ref="O4:O5"/>
    <mergeCell ref="A1:Q2"/>
    <mergeCell ref="Q10:Q11"/>
    <mergeCell ref="P10:P11"/>
    <mergeCell ref="O10:O11"/>
    <mergeCell ref="Q6:Q9"/>
    <mergeCell ref="P6:P9"/>
    <mergeCell ref="O6:O9"/>
    <mergeCell ref="Q14:Q15"/>
    <mergeCell ref="P14:P15"/>
    <mergeCell ref="O14:O15"/>
    <mergeCell ref="Q12:Q13"/>
    <mergeCell ref="P12:P13"/>
    <mergeCell ref="O12:O13"/>
    <mergeCell ref="Q18:Q19"/>
    <mergeCell ref="P18:P19"/>
    <mergeCell ref="O18:O19"/>
    <mergeCell ref="Q16:Q17"/>
    <mergeCell ref="P16:P17"/>
    <mergeCell ref="O16:O17"/>
    <mergeCell ref="Q22:Q23"/>
    <mergeCell ref="P22:P23"/>
    <mergeCell ref="O22:O23"/>
    <mergeCell ref="Q20:Q21"/>
    <mergeCell ref="P20:P21"/>
    <mergeCell ref="O20:O21"/>
    <mergeCell ref="Q26:Q27"/>
    <mergeCell ref="P26:P27"/>
    <mergeCell ref="O26:O27"/>
    <mergeCell ref="Q24:Q25"/>
    <mergeCell ref="P24:P25"/>
    <mergeCell ref="O24:O25"/>
  </mergeCells>
  <conditionalFormatting sqref="C32">
    <cfRule type="cellIs" dxfId="75" priority="1" operator="lessThan">
      <formula>29</formula>
    </cfRule>
    <cfRule type="cellIs" dxfId="74" priority="2" operator="greaterThan">
      <formula>38</formula>
    </cfRule>
    <cfRule type="cellIs" dxfId="73" priority="3" operator="lessThan">
      <formula>38</formula>
    </cfRule>
    <cfRule type="cellIs" dxfId="72" priority="4" operator="lessThan">
      <formula>38</formula>
    </cfRule>
    <cfRule type="cellIs" dxfId="71" priority="5" operator="greaterThan">
      <formula>40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Q53"/>
  <sheetViews>
    <sheetView topLeftCell="A40" zoomScaleNormal="100" workbookViewId="0">
      <selection activeCell="A61" sqref="A61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18.5703125" style="2" bestFit="1" customWidth="1"/>
    <col min="10" max="10" width="7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7" t="s">
        <v>348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3028628</v>
      </c>
      <c r="C4" s="11" t="s">
        <v>169</v>
      </c>
      <c r="D4" s="31">
        <v>48693.45</v>
      </c>
      <c r="E4" s="11" t="s">
        <v>170</v>
      </c>
      <c r="F4" s="11" t="s">
        <v>171</v>
      </c>
      <c r="G4" s="11" t="s">
        <v>172</v>
      </c>
      <c r="H4" s="11" t="s">
        <v>97</v>
      </c>
      <c r="I4" s="11" t="s">
        <v>173</v>
      </c>
      <c r="J4" s="11" t="s">
        <v>174</v>
      </c>
      <c r="K4" s="11" t="s">
        <v>175</v>
      </c>
      <c r="L4" s="11">
        <v>250</v>
      </c>
      <c r="M4" s="11">
        <v>14400</v>
      </c>
      <c r="N4" s="11" t="s">
        <v>176</v>
      </c>
      <c r="O4" s="630">
        <v>14948.889150000001</v>
      </c>
      <c r="P4" s="636">
        <f>O4/D4*100</f>
        <v>30.700000000000006</v>
      </c>
      <c r="Q4" s="630">
        <f>D4/(L4+L5)</f>
        <v>118.76451219512194</v>
      </c>
    </row>
    <row r="5" spans="1:17" ht="25.5" customHeight="1" x14ac:dyDescent="0.25">
      <c r="A5" s="10">
        <v>44471</v>
      </c>
      <c r="B5" s="11">
        <v>2816414</v>
      </c>
      <c r="C5" s="11" t="s">
        <v>9</v>
      </c>
      <c r="D5" s="31">
        <v>0</v>
      </c>
      <c r="E5" s="11"/>
      <c r="F5" s="11" t="s">
        <v>172</v>
      </c>
      <c r="G5" s="11" t="s">
        <v>46</v>
      </c>
      <c r="H5" s="11" t="s">
        <v>97</v>
      </c>
      <c r="I5" s="11" t="s">
        <v>173</v>
      </c>
      <c r="J5" s="11" t="s">
        <v>174</v>
      </c>
      <c r="K5" s="11" t="s">
        <v>175</v>
      </c>
      <c r="L5" s="11">
        <v>160</v>
      </c>
      <c r="M5" s="11">
        <v>0</v>
      </c>
      <c r="N5" s="11" t="s">
        <v>10</v>
      </c>
      <c r="O5" s="630"/>
      <c r="P5" s="636"/>
      <c r="Q5" s="630"/>
    </row>
    <row r="6" spans="1:17" ht="25.5" customHeight="1" x14ac:dyDescent="0.25">
      <c r="A6" s="16">
        <v>44473</v>
      </c>
      <c r="B6" s="17">
        <v>2816281</v>
      </c>
      <c r="C6" s="17" t="s">
        <v>9</v>
      </c>
      <c r="D6" s="34">
        <v>0</v>
      </c>
      <c r="E6" s="17"/>
      <c r="F6" s="17" t="s">
        <v>46</v>
      </c>
      <c r="G6" s="17" t="s">
        <v>171</v>
      </c>
      <c r="H6" s="17" t="s">
        <v>97</v>
      </c>
      <c r="I6" s="17" t="s">
        <v>173</v>
      </c>
      <c r="J6" s="17" t="s">
        <v>174</v>
      </c>
      <c r="K6" s="17" t="s">
        <v>175</v>
      </c>
      <c r="L6" s="17">
        <v>260</v>
      </c>
      <c r="M6" s="17">
        <v>0</v>
      </c>
      <c r="N6" s="17" t="s">
        <v>10</v>
      </c>
      <c r="O6" s="628">
        <v>14948.889150000001</v>
      </c>
      <c r="P6" s="643">
        <f>O6/D7*100</f>
        <v>30.700000000000006</v>
      </c>
      <c r="Q6" s="628">
        <f>D7/(L6+L7+L8)</f>
        <v>72.67679104477611</v>
      </c>
    </row>
    <row r="7" spans="1:17" ht="25.5" customHeight="1" x14ac:dyDescent="0.25">
      <c r="A7" s="16">
        <v>44474</v>
      </c>
      <c r="B7" s="17">
        <v>3030251</v>
      </c>
      <c r="C7" s="17" t="s">
        <v>169</v>
      </c>
      <c r="D7" s="34">
        <v>48693.45</v>
      </c>
      <c r="E7" s="17" t="s">
        <v>170</v>
      </c>
      <c r="F7" s="17" t="s">
        <v>171</v>
      </c>
      <c r="G7" s="17" t="s">
        <v>172</v>
      </c>
      <c r="H7" s="17" t="s">
        <v>97</v>
      </c>
      <c r="I7" s="17" t="s">
        <v>173</v>
      </c>
      <c r="J7" s="17" t="s">
        <v>174</v>
      </c>
      <c r="K7" s="17" t="s">
        <v>175</v>
      </c>
      <c r="L7" s="17">
        <v>250</v>
      </c>
      <c r="M7" s="17">
        <v>13830</v>
      </c>
      <c r="N7" s="17" t="s">
        <v>176</v>
      </c>
      <c r="O7" s="628"/>
      <c r="P7" s="643"/>
      <c r="Q7" s="628"/>
    </row>
    <row r="8" spans="1:17" ht="25.5" customHeight="1" x14ac:dyDescent="0.25">
      <c r="A8" s="16">
        <v>44475</v>
      </c>
      <c r="B8" s="17">
        <v>2816282</v>
      </c>
      <c r="C8" s="17" t="s">
        <v>9</v>
      </c>
      <c r="D8" s="34">
        <v>0</v>
      </c>
      <c r="E8" s="17"/>
      <c r="F8" s="17" t="s">
        <v>172</v>
      </c>
      <c r="G8" s="17" t="s">
        <v>46</v>
      </c>
      <c r="H8" s="17" t="s">
        <v>97</v>
      </c>
      <c r="I8" s="17" t="s">
        <v>173</v>
      </c>
      <c r="J8" s="17" t="s">
        <v>174</v>
      </c>
      <c r="K8" s="17" t="s">
        <v>175</v>
      </c>
      <c r="L8" s="17">
        <v>160</v>
      </c>
      <c r="M8" s="17">
        <v>0</v>
      </c>
      <c r="N8" s="17" t="s">
        <v>10</v>
      </c>
      <c r="O8" s="628"/>
      <c r="P8" s="643"/>
      <c r="Q8" s="628"/>
    </row>
    <row r="9" spans="1:17" ht="25.5" customHeight="1" x14ac:dyDescent="0.25">
      <c r="A9" s="12">
        <v>44475</v>
      </c>
      <c r="B9" s="13">
        <v>2816415</v>
      </c>
      <c r="C9" s="13" t="s">
        <v>9</v>
      </c>
      <c r="D9" s="33">
        <v>0</v>
      </c>
      <c r="E9" s="13"/>
      <c r="F9" s="13" t="s">
        <v>46</v>
      </c>
      <c r="G9" s="13" t="s">
        <v>171</v>
      </c>
      <c r="H9" s="13" t="s">
        <v>97</v>
      </c>
      <c r="I9" s="13" t="s">
        <v>173</v>
      </c>
      <c r="J9" s="13" t="s">
        <v>174</v>
      </c>
      <c r="K9" s="13" t="s">
        <v>175</v>
      </c>
      <c r="L9" s="13">
        <v>260</v>
      </c>
      <c r="M9" s="13">
        <v>0</v>
      </c>
      <c r="N9" s="13" t="s">
        <v>10</v>
      </c>
      <c r="O9" s="634">
        <v>25542.295620000001</v>
      </c>
      <c r="P9" s="639">
        <f>O9/D10*100</f>
        <v>30.7</v>
      </c>
      <c r="Q9" s="634">
        <f>D10/(L9+L10+L11)</f>
        <v>70.508186440677974</v>
      </c>
    </row>
    <row r="10" spans="1:17" ht="25.5" customHeight="1" x14ac:dyDescent="0.25">
      <c r="A10" s="12">
        <v>44475</v>
      </c>
      <c r="B10" s="13">
        <v>3031544</v>
      </c>
      <c r="C10" s="13" t="s">
        <v>169</v>
      </c>
      <c r="D10" s="33">
        <v>83199.66</v>
      </c>
      <c r="E10" s="13" t="s">
        <v>170</v>
      </c>
      <c r="F10" s="13" t="s">
        <v>171</v>
      </c>
      <c r="G10" s="13" t="s">
        <v>177</v>
      </c>
      <c r="H10" s="13" t="s">
        <v>97</v>
      </c>
      <c r="I10" s="13" t="s">
        <v>173</v>
      </c>
      <c r="J10" s="13" t="s">
        <v>174</v>
      </c>
      <c r="K10" s="13" t="s">
        <v>175</v>
      </c>
      <c r="L10" s="13">
        <v>370</v>
      </c>
      <c r="M10" s="13">
        <v>5200</v>
      </c>
      <c r="N10" s="13" t="s">
        <v>176</v>
      </c>
      <c r="O10" s="634"/>
      <c r="P10" s="639"/>
      <c r="Q10" s="634"/>
    </row>
    <row r="11" spans="1:17" ht="25.5" customHeight="1" x14ac:dyDescent="0.25">
      <c r="A11" s="12">
        <v>44476</v>
      </c>
      <c r="B11" s="13">
        <v>2816401</v>
      </c>
      <c r="C11" s="13" t="s">
        <v>9</v>
      </c>
      <c r="D11" s="33">
        <v>0</v>
      </c>
      <c r="E11" s="13"/>
      <c r="F11" s="13" t="s">
        <v>177</v>
      </c>
      <c r="G11" s="13" t="s">
        <v>46</v>
      </c>
      <c r="H11" s="13" t="s">
        <v>97</v>
      </c>
      <c r="I11" s="13" t="s">
        <v>173</v>
      </c>
      <c r="J11" s="13" t="s">
        <v>174</v>
      </c>
      <c r="K11" s="13" t="s">
        <v>175</v>
      </c>
      <c r="L11" s="13">
        <v>550</v>
      </c>
      <c r="M11" s="13">
        <v>0</v>
      </c>
      <c r="N11" s="13" t="s">
        <v>10</v>
      </c>
      <c r="O11" s="634"/>
      <c r="P11" s="639"/>
      <c r="Q11" s="634"/>
    </row>
    <row r="12" spans="1:17" ht="25.5" customHeight="1" x14ac:dyDescent="0.25">
      <c r="A12" s="14">
        <v>44480</v>
      </c>
      <c r="B12" s="15">
        <v>2816400</v>
      </c>
      <c r="C12" s="15" t="s">
        <v>9</v>
      </c>
      <c r="D12" s="35">
        <v>0</v>
      </c>
      <c r="E12" s="15"/>
      <c r="F12" s="15" t="s">
        <v>46</v>
      </c>
      <c r="G12" s="15" t="s">
        <v>171</v>
      </c>
      <c r="H12" s="15" t="s">
        <v>97</v>
      </c>
      <c r="I12" s="15" t="s">
        <v>173</v>
      </c>
      <c r="J12" s="15" t="s">
        <v>174</v>
      </c>
      <c r="K12" s="15" t="s">
        <v>175</v>
      </c>
      <c r="L12" s="15">
        <v>260</v>
      </c>
      <c r="M12" s="15">
        <v>0</v>
      </c>
      <c r="N12" s="15" t="s">
        <v>10</v>
      </c>
      <c r="O12" s="632">
        <v>25542.292549999998</v>
      </c>
      <c r="P12" s="646">
        <f>O12/D13*100</f>
        <v>30.7</v>
      </c>
      <c r="Q12" s="632">
        <f>D13/(L12+L13+L14)</f>
        <v>70.508177966101684</v>
      </c>
    </row>
    <row r="13" spans="1:17" ht="25.5" customHeight="1" x14ac:dyDescent="0.25">
      <c r="A13" s="14">
        <v>44481</v>
      </c>
      <c r="B13" s="15">
        <v>3032754</v>
      </c>
      <c r="C13" s="15" t="s">
        <v>169</v>
      </c>
      <c r="D13" s="35">
        <v>83199.649999999994</v>
      </c>
      <c r="E13" s="15" t="s">
        <v>178</v>
      </c>
      <c r="F13" s="15" t="s">
        <v>171</v>
      </c>
      <c r="G13" s="15" t="s">
        <v>177</v>
      </c>
      <c r="H13" s="15" t="s">
        <v>97</v>
      </c>
      <c r="I13" s="15" t="s">
        <v>173</v>
      </c>
      <c r="J13" s="15" t="s">
        <v>174</v>
      </c>
      <c r="K13" s="15" t="s">
        <v>175</v>
      </c>
      <c r="L13" s="15">
        <v>370</v>
      </c>
      <c r="M13" s="15">
        <v>6280</v>
      </c>
      <c r="N13" s="15" t="s">
        <v>176</v>
      </c>
      <c r="O13" s="632"/>
      <c r="P13" s="646"/>
      <c r="Q13" s="632"/>
    </row>
    <row r="14" spans="1:17" ht="25.5" customHeight="1" x14ac:dyDescent="0.25">
      <c r="A14" s="14">
        <v>44482</v>
      </c>
      <c r="B14" s="15">
        <v>2816416</v>
      </c>
      <c r="C14" s="15" t="s">
        <v>9</v>
      </c>
      <c r="D14" s="35">
        <v>0</v>
      </c>
      <c r="E14" s="15"/>
      <c r="F14" s="15" t="s">
        <v>177</v>
      </c>
      <c r="G14" s="15" t="s">
        <v>46</v>
      </c>
      <c r="H14" s="15" t="s">
        <v>97</v>
      </c>
      <c r="I14" s="15" t="s">
        <v>173</v>
      </c>
      <c r="J14" s="15" t="s">
        <v>174</v>
      </c>
      <c r="K14" s="15" t="s">
        <v>175</v>
      </c>
      <c r="L14" s="15">
        <v>550</v>
      </c>
      <c r="M14" s="15">
        <v>0</v>
      </c>
      <c r="N14" s="15" t="s">
        <v>10</v>
      </c>
      <c r="O14" s="632"/>
      <c r="P14" s="646"/>
      <c r="Q14" s="632"/>
    </row>
    <row r="15" spans="1:17" ht="25.5" customHeight="1" x14ac:dyDescent="0.25">
      <c r="A15" s="10">
        <v>44482</v>
      </c>
      <c r="B15" s="11">
        <v>2816532</v>
      </c>
      <c r="C15" s="11" t="s">
        <v>9</v>
      </c>
      <c r="D15" s="31">
        <v>0</v>
      </c>
      <c r="E15" s="11"/>
      <c r="F15" s="11" t="s">
        <v>46</v>
      </c>
      <c r="G15" s="11" t="s">
        <v>171</v>
      </c>
      <c r="H15" s="11" t="s">
        <v>97</v>
      </c>
      <c r="I15" s="11" t="s">
        <v>173</v>
      </c>
      <c r="J15" s="11" t="s">
        <v>174</v>
      </c>
      <c r="K15" s="11" t="s">
        <v>175</v>
      </c>
      <c r="L15" s="11">
        <v>260</v>
      </c>
      <c r="M15" s="11">
        <v>0</v>
      </c>
      <c r="N15" s="11" t="s">
        <v>10</v>
      </c>
      <c r="O15" s="630">
        <v>14948.898359999999</v>
      </c>
      <c r="P15" s="636">
        <f>O15/D16*100</f>
        <v>30.699999999999996</v>
      </c>
      <c r="Q15" s="630">
        <f>D16/(L15+L16+L17)</f>
        <v>72.676835820895533</v>
      </c>
    </row>
    <row r="16" spans="1:17" ht="25.5" customHeight="1" x14ac:dyDescent="0.25">
      <c r="A16" s="10">
        <v>44483</v>
      </c>
      <c r="B16" s="11">
        <v>3034236</v>
      </c>
      <c r="C16" s="11" t="s">
        <v>169</v>
      </c>
      <c r="D16" s="31">
        <v>48693.48</v>
      </c>
      <c r="E16" s="11" t="s">
        <v>178</v>
      </c>
      <c r="F16" s="11" t="s">
        <v>171</v>
      </c>
      <c r="G16" s="11" t="s">
        <v>172</v>
      </c>
      <c r="H16" s="11" t="s">
        <v>97</v>
      </c>
      <c r="I16" s="11" t="s">
        <v>173</v>
      </c>
      <c r="J16" s="11" t="s">
        <v>174</v>
      </c>
      <c r="K16" s="11" t="s">
        <v>175</v>
      </c>
      <c r="L16" s="11">
        <v>250</v>
      </c>
      <c r="M16" s="11">
        <v>17420</v>
      </c>
      <c r="N16" s="11" t="s">
        <v>176</v>
      </c>
      <c r="O16" s="630"/>
      <c r="P16" s="636"/>
      <c r="Q16" s="630"/>
    </row>
    <row r="17" spans="1:17" ht="25.5" customHeight="1" x14ac:dyDescent="0.25">
      <c r="A17" s="10">
        <v>44484</v>
      </c>
      <c r="B17" s="11">
        <v>2816531</v>
      </c>
      <c r="C17" s="11" t="s">
        <v>9</v>
      </c>
      <c r="D17" s="31">
        <v>0</v>
      </c>
      <c r="E17" s="11"/>
      <c r="F17" s="11" t="s">
        <v>172</v>
      </c>
      <c r="G17" s="11" t="s">
        <v>46</v>
      </c>
      <c r="H17" s="11" t="s">
        <v>97</v>
      </c>
      <c r="I17" s="11" t="s">
        <v>173</v>
      </c>
      <c r="J17" s="11" t="s">
        <v>174</v>
      </c>
      <c r="K17" s="11" t="s">
        <v>175</v>
      </c>
      <c r="L17" s="11">
        <v>160</v>
      </c>
      <c r="M17" s="11">
        <v>0</v>
      </c>
      <c r="N17" s="11" t="s">
        <v>10</v>
      </c>
      <c r="O17" s="630"/>
      <c r="P17" s="636"/>
      <c r="Q17" s="630"/>
    </row>
    <row r="18" spans="1:17" ht="25.5" customHeight="1" x14ac:dyDescent="0.25">
      <c r="A18" s="16">
        <v>44486</v>
      </c>
      <c r="B18" s="17">
        <v>2816530</v>
      </c>
      <c r="C18" s="17" t="s">
        <v>9</v>
      </c>
      <c r="D18" s="34">
        <v>0</v>
      </c>
      <c r="E18" s="17"/>
      <c r="F18" s="17" t="s">
        <v>46</v>
      </c>
      <c r="G18" s="17" t="s">
        <v>171</v>
      </c>
      <c r="H18" s="17" t="s">
        <v>97</v>
      </c>
      <c r="I18" s="17" t="s">
        <v>173</v>
      </c>
      <c r="J18" s="17" t="s">
        <v>174</v>
      </c>
      <c r="K18" s="17" t="s">
        <v>175</v>
      </c>
      <c r="L18" s="17">
        <v>260</v>
      </c>
      <c r="M18" s="17">
        <v>0</v>
      </c>
      <c r="N18" s="17" t="s">
        <v>10</v>
      </c>
      <c r="O18" s="628">
        <v>14948.898359999999</v>
      </c>
      <c r="P18" s="643">
        <f>O18/D19*100</f>
        <v>30.699999999999996</v>
      </c>
      <c r="Q18" s="628">
        <f>D19/(L18+L19+L20)</f>
        <v>72.676835820895533</v>
      </c>
    </row>
    <row r="19" spans="1:17" ht="25.5" customHeight="1" x14ac:dyDescent="0.25">
      <c r="A19" s="16">
        <v>44487</v>
      </c>
      <c r="B19" s="17">
        <v>3035749</v>
      </c>
      <c r="C19" s="17" t="s">
        <v>169</v>
      </c>
      <c r="D19" s="34">
        <v>48693.48</v>
      </c>
      <c r="E19" s="17" t="s">
        <v>178</v>
      </c>
      <c r="F19" s="17" t="s">
        <v>171</v>
      </c>
      <c r="G19" s="17" t="s">
        <v>172</v>
      </c>
      <c r="H19" s="17" t="s">
        <v>97</v>
      </c>
      <c r="I19" s="17" t="s">
        <v>173</v>
      </c>
      <c r="J19" s="17" t="s">
        <v>174</v>
      </c>
      <c r="K19" s="17" t="s">
        <v>175</v>
      </c>
      <c r="L19" s="17">
        <v>250</v>
      </c>
      <c r="M19" s="17">
        <v>8380</v>
      </c>
      <c r="N19" s="17" t="s">
        <v>176</v>
      </c>
      <c r="O19" s="628"/>
      <c r="P19" s="643"/>
      <c r="Q19" s="628"/>
    </row>
    <row r="20" spans="1:17" ht="25.5" customHeight="1" x14ac:dyDescent="0.25">
      <c r="A20" s="16">
        <v>44488</v>
      </c>
      <c r="B20" s="17">
        <v>2816543</v>
      </c>
      <c r="C20" s="17" t="s">
        <v>9</v>
      </c>
      <c r="D20" s="34">
        <v>0</v>
      </c>
      <c r="E20" s="17"/>
      <c r="F20" s="17" t="s">
        <v>172</v>
      </c>
      <c r="G20" s="17" t="s">
        <v>46</v>
      </c>
      <c r="H20" s="17" t="s">
        <v>97</v>
      </c>
      <c r="I20" s="17" t="s">
        <v>173</v>
      </c>
      <c r="J20" s="17" t="s">
        <v>174</v>
      </c>
      <c r="K20" s="17" t="s">
        <v>175</v>
      </c>
      <c r="L20" s="17">
        <v>160</v>
      </c>
      <c r="M20" s="17">
        <v>0</v>
      </c>
      <c r="N20" s="17" t="s">
        <v>10</v>
      </c>
      <c r="O20" s="628"/>
      <c r="P20" s="643"/>
      <c r="Q20" s="628"/>
    </row>
    <row r="21" spans="1:17" ht="25.5" customHeight="1" x14ac:dyDescent="0.25">
      <c r="A21" s="12">
        <v>44488</v>
      </c>
      <c r="B21" s="13">
        <v>2816552</v>
      </c>
      <c r="C21" s="13" t="s">
        <v>9</v>
      </c>
      <c r="D21" s="33">
        <v>0</v>
      </c>
      <c r="E21" s="13"/>
      <c r="F21" s="13" t="s">
        <v>46</v>
      </c>
      <c r="G21" s="13" t="s">
        <v>171</v>
      </c>
      <c r="H21" s="13" t="s">
        <v>97</v>
      </c>
      <c r="I21" s="13" t="s">
        <v>173</v>
      </c>
      <c r="J21" s="13" t="s">
        <v>174</v>
      </c>
      <c r="K21" s="13" t="s">
        <v>175</v>
      </c>
      <c r="L21" s="13">
        <v>260</v>
      </c>
      <c r="M21" s="13">
        <v>0</v>
      </c>
      <c r="N21" s="13" t="s">
        <v>10</v>
      </c>
      <c r="O21" s="634">
        <v>14948.898359999999</v>
      </c>
      <c r="P21" s="639">
        <f>O21/D22*100</f>
        <v>30.699999999999996</v>
      </c>
      <c r="Q21" s="634">
        <f>D22/(L21+L22+L23)</f>
        <v>72.676835820895533</v>
      </c>
    </row>
    <row r="22" spans="1:17" ht="25.5" customHeight="1" x14ac:dyDescent="0.25">
      <c r="A22" s="12">
        <v>44489</v>
      </c>
      <c r="B22" s="13">
        <v>3037263</v>
      </c>
      <c r="C22" s="13" t="s">
        <v>169</v>
      </c>
      <c r="D22" s="33">
        <v>48693.48</v>
      </c>
      <c r="E22" s="13" t="s">
        <v>178</v>
      </c>
      <c r="F22" s="13" t="s">
        <v>171</v>
      </c>
      <c r="G22" s="13" t="s">
        <v>172</v>
      </c>
      <c r="H22" s="13" t="s">
        <v>97</v>
      </c>
      <c r="I22" s="13" t="s">
        <v>173</v>
      </c>
      <c r="J22" s="13" t="s">
        <v>174</v>
      </c>
      <c r="K22" s="13" t="s">
        <v>175</v>
      </c>
      <c r="L22" s="13">
        <v>250</v>
      </c>
      <c r="M22" s="13">
        <v>8620</v>
      </c>
      <c r="N22" s="13" t="s">
        <v>176</v>
      </c>
      <c r="O22" s="634"/>
      <c r="P22" s="639"/>
      <c r="Q22" s="634"/>
    </row>
    <row r="23" spans="1:17" ht="25.5" customHeight="1" x14ac:dyDescent="0.25">
      <c r="A23" s="12">
        <v>44490</v>
      </c>
      <c r="B23" s="13">
        <v>2816553</v>
      </c>
      <c r="C23" s="13" t="s">
        <v>9</v>
      </c>
      <c r="D23" s="33">
        <v>0</v>
      </c>
      <c r="E23" s="13"/>
      <c r="F23" s="13" t="s">
        <v>172</v>
      </c>
      <c r="G23" s="13" t="s">
        <v>46</v>
      </c>
      <c r="H23" s="13" t="s">
        <v>97</v>
      </c>
      <c r="I23" s="13" t="s">
        <v>173</v>
      </c>
      <c r="J23" s="13" t="s">
        <v>174</v>
      </c>
      <c r="K23" s="13" t="s">
        <v>175</v>
      </c>
      <c r="L23" s="13">
        <v>160</v>
      </c>
      <c r="M23" s="13">
        <v>0</v>
      </c>
      <c r="N23" s="13" t="s">
        <v>10</v>
      </c>
      <c r="O23" s="634"/>
      <c r="P23" s="639"/>
      <c r="Q23" s="634"/>
    </row>
    <row r="24" spans="1:17" ht="25.5" customHeight="1" x14ac:dyDescent="0.25">
      <c r="A24" s="14">
        <v>44490</v>
      </c>
      <c r="B24" s="15">
        <v>2816574</v>
      </c>
      <c r="C24" s="15" t="s">
        <v>9</v>
      </c>
      <c r="D24" s="35">
        <v>0</v>
      </c>
      <c r="E24" s="15"/>
      <c r="F24" s="15" t="s">
        <v>46</v>
      </c>
      <c r="G24" s="15" t="s">
        <v>171</v>
      </c>
      <c r="H24" s="15" t="s">
        <v>97</v>
      </c>
      <c r="I24" s="15" t="s">
        <v>173</v>
      </c>
      <c r="J24" s="15" t="s">
        <v>174</v>
      </c>
      <c r="K24" s="15" t="s">
        <v>175</v>
      </c>
      <c r="L24" s="15">
        <v>260</v>
      </c>
      <c r="M24" s="15">
        <v>0</v>
      </c>
      <c r="N24" s="15" t="s">
        <v>10</v>
      </c>
      <c r="O24" s="632">
        <v>14948.898359999999</v>
      </c>
      <c r="P24" s="646">
        <f>O24/D25*100</f>
        <v>30.699999999999996</v>
      </c>
      <c r="Q24" s="632">
        <f>D25/(L24+L25+L26)</f>
        <v>72.676835820895533</v>
      </c>
    </row>
    <row r="25" spans="1:17" ht="25.5" customHeight="1" x14ac:dyDescent="0.25">
      <c r="A25" s="14">
        <v>44491</v>
      </c>
      <c r="B25" s="15">
        <v>3038725</v>
      </c>
      <c r="C25" s="15" t="s">
        <v>169</v>
      </c>
      <c r="D25" s="35">
        <v>48693.48</v>
      </c>
      <c r="E25" s="15" t="s">
        <v>178</v>
      </c>
      <c r="F25" s="15" t="s">
        <v>171</v>
      </c>
      <c r="G25" s="15" t="s">
        <v>172</v>
      </c>
      <c r="H25" s="15" t="s">
        <v>97</v>
      </c>
      <c r="I25" s="15" t="s">
        <v>173</v>
      </c>
      <c r="J25" s="15" t="s">
        <v>174</v>
      </c>
      <c r="K25" s="15" t="s">
        <v>175</v>
      </c>
      <c r="L25" s="15">
        <v>250</v>
      </c>
      <c r="M25" s="15">
        <v>14980</v>
      </c>
      <c r="N25" s="15" t="s">
        <v>176</v>
      </c>
      <c r="O25" s="632"/>
      <c r="P25" s="646"/>
      <c r="Q25" s="632"/>
    </row>
    <row r="26" spans="1:17" ht="25.5" customHeight="1" x14ac:dyDescent="0.25">
      <c r="A26" s="14">
        <v>44492</v>
      </c>
      <c r="B26" s="15"/>
      <c r="C26" s="15" t="s">
        <v>9</v>
      </c>
      <c r="D26" s="35">
        <v>0</v>
      </c>
      <c r="E26" s="15"/>
      <c r="F26" s="15" t="s">
        <v>172</v>
      </c>
      <c r="G26" s="15" t="s">
        <v>46</v>
      </c>
      <c r="H26" s="15" t="s">
        <v>97</v>
      </c>
      <c r="I26" s="15" t="s">
        <v>173</v>
      </c>
      <c r="J26" s="15" t="s">
        <v>174</v>
      </c>
      <c r="K26" s="15" t="s">
        <v>175</v>
      </c>
      <c r="L26" s="15">
        <v>160</v>
      </c>
      <c r="M26" s="15">
        <v>0</v>
      </c>
      <c r="N26" s="15" t="s">
        <v>10</v>
      </c>
      <c r="O26" s="632"/>
      <c r="P26" s="646"/>
      <c r="Q26" s="632"/>
    </row>
    <row r="27" spans="1:17" ht="25.5" customHeight="1" x14ac:dyDescent="0.25">
      <c r="A27" s="10">
        <v>44494</v>
      </c>
      <c r="B27" s="11">
        <v>2816618</v>
      </c>
      <c r="C27" s="11" t="s">
        <v>9</v>
      </c>
      <c r="D27" s="31">
        <v>0</v>
      </c>
      <c r="E27" s="11"/>
      <c r="F27" s="11" t="s">
        <v>46</v>
      </c>
      <c r="G27" s="11" t="s">
        <v>171</v>
      </c>
      <c r="H27" s="11" t="s">
        <v>97</v>
      </c>
      <c r="I27" s="11" t="s">
        <v>173</v>
      </c>
      <c r="J27" s="11" t="s">
        <v>174</v>
      </c>
      <c r="K27" s="11" t="s">
        <v>175</v>
      </c>
      <c r="L27" s="11">
        <v>260</v>
      </c>
      <c r="M27" s="11">
        <v>0</v>
      </c>
      <c r="N27" s="11" t="s">
        <v>10</v>
      </c>
      <c r="O27" s="630">
        <v>25542.295620000001</v>
      </c>
      <c r="P27" s="636">
        <f>O27/D28*100</f>
        <v>30.7</v>
      </c>
      <c r="Q27" s="630">
        <f>D28/(L27+L28+L29)</f>
        <v>70.508186440677974</v>
      </c>
    </row>
    <row r="28" spans="1:17" ht="25.5" customHeight="1" x14ac:dyDescent="0.25">
      <c r="A28" s="10">
        <v>44495</v>
      </c>
      <c r="B28" s="11">
        <v>3040261</v>
      </c>
      <c r="C28" s="11" t="s">
        <v>169</v>
      </c>
      <c r="D28" s="31">
        <v>83199.66</v>
      </c>
      <c r="E28" s="11" t="s">
        <v>178</v>
      </c>
      <c r="F28" s="11" t="s">
        <v>171</v>
      </c>
      <c r="G28" s="11" t="s">
        <v>177</v>
      </c>
      <c r="H28" s="11" t="s">
        <v>97</v>
      </c>
      <c r="I28" s="11" t="s">
        <v>173</v>
      </c>
      <c r="J28" s="11" t="s">
        <v>174</v>
      </c>
      <c r="K28" s="11" t="s">
        <v>175</v>
      </c>
      <c r="L28" s="11">
        <v>370</v>
      </c>
      <c r="M28" s="11">
        <v>5040</v>
      </c>
      <c r="N28" s="11" t="s">
        <v>176</v>
      </c>
      <c r="O28" s="630"/>
      <c r="P28" s="636"/>
      <c r="Q28" s="630"/>
    </row>
    <row r="29" spans="1:17" ht="25.5" customHeight="1" x14ac:dyDescent="0.25">
      <c r="A29" s="10">
        <v>44496</v>
      </c>
      <c r="B29" s="11">
        <v>2816617</v>
      </c>
      <c r="C29" s="11" t="s">
        <v>9</v>
      </c>
      <c r="D29" s="31">
        <v>0</v>
      </c>
      <c r="E29" s="11"/>
      <c r="F29" s="11" t="s">
        <v>177</v>
      </c>
      <c r="G29" s="11" t="s">
        <v>46</v>
      </c>
      <c r="H29" s="11" t="s">
        <v>97</v>
      </c>
      <c r="I29" s="11" t="s">
        <v>173</v>
      </c>
      <c r="J29" s="11" t="s">
        <v>174</v>
      </c>
      <c r="K29" s="11" t="s">
        <v>175</v>
      </c>
      <c r="L29" s="11">
        <v>550</v>
      </c>
      <c r="M29" s="11">
        <v>0</v>
      </c>
      <c r="N29" s="11" t="s">
        <v>10</v>
      </c>
      <c r="O29" s="630"/>
      <c r="P29" s="636"/>
      <c r="Q29" s="630"/>
    </row>
    <row r="30" spans="1:17" ht="25.5" customHeight="1" x14ac:dyDescent="0.25">
      <c r="A30" s="16">
        <v>44496</v>
      </c>
      <c r="B30" s="17">
        <v>2816616</v>
      </c>
      <c r="C30" s="17" t="s">
        <v>9</v>
      </c>
      <c r="D30" s="34">
        <v>0</v>
      </c>
      <c r="E30" s="17"/>
      <c r="F30" s="17" t="s">
        <v>46</v>
      </c>
      <c r="G30" s="17" t="s">
        <v>171</v>
      </c>
      <c r="H30" s="17" t="s">
        <v>97</v>
      </c>
      <c r="I30" s="17" t="s">
        <v>173</v>
      </c>
      <c r="J30" s="17" t="s">
        <v>174</v>
      </c>
      <c r="K30" s="17" t="s">
        <v>175</v>
      </c>
      <c r="L30" s="17">
        <v>260</v>
      </c>
      <c r="M30" s="17">
        <v>0</v>
      </c>
      <c r="N30" s="17" t="s">
        <v>10</v>
      </c>
      <c r="O30" s="628">
        <v>14948.898359999999</v>
      </c>
      <c r="P30" s="643">
        <f>O30/D31*100</f>
        <v>30.699999999999996</v>
      </c>
      <c r="Q30" s="628">
        <f>D31/(L30+L31+L32)</f>
        <v>72.676835820895533</v>
      </c>
    </row>
    <row r="31" spans="1:17" ht="25.5" customHeight="1" x14ac:dyDescent="0.25">
      <c r="A31" s="16">
        <v>44496</v>
      </c>
      <c r="B31" s="17">
        <v>3041043</v>
      </c>
      <c r="C31" s="17" t="s">
        <v>169</v>
      </c>
      <c r="D31" s="34">
        <v>48693.48</v>
      </c>
      <c r="E31" s="17" t="s">
        <v>178</v>
      </c>
      <c r="F31" s="17" t="s">
        <v>171</v>
      </c>
      <c r="G31" s="17" t="s">
        <v>172</v>
      </c>
      <c r="H31" s="17" t="s">
        <v>97</v>
      </c>
      <c r="I31" s="17" t="s">
        <v>173</v>
      </c>
      <c r="J31" s="17" t="s">
        <v>174</v>
      </c>
      <c r="K31" s="17" t="s">
        <v>175</v>
      </c>
      <c r="L31" s="17">
        <v>250</v>
      </c>
      <c r="M31" s="17">
        <v>14660</v>
      </c>
      <c r="N31" s="17" t="s">
        <v>176</v>
      </c>
      <c r="O31" s="628"/>
      <c r="P31" s="643"/>
      <c r="Q31" s="628"/>
    </row>
    <row r="32" spans="1:17" ht="25.5" customHeight="1" x14ac:dyDescent="0.25">
      <c r="A32" s="16">
        <v>44497</v>
      </c>
      <c r="B32" s="17">
        <v>2816619</v>
      </c>
      <c r="C32" s="17" t="s">
        <v>9</v>
      </c>
      <c r="D32" s="34">
        <v>0</v>
      </c>
      <c r="E32" s="17"/>
      <c r="F32" s="17" t="s">
        <v>172</v>
      </c>
      <c r="G32" s="17" t="s">
        <v>46</v>
      </c>
      <c r="H32" s="17" t="s">
        <v>97</v>
      </c>
      <c r="I32" s="17" t="s">
        <v>173</v>
      </c>
      <c r="J32" s="17" t="s">
        <v>174</v>
      </c>
      <c r="K32" s="17" t="s">
        <v>175</v>
      </c>
      <c r="L32" s="17">
        <v>160</v>
      </c>
      <c r="M32" s="17">
        <v>0</v>
      </c>
      <c r="N32" s="58" t="s">
        <v>10</v>
      </c>
      <c r="O32" s="628"/>
      <c r="P32" s="643"/>
      <c r="Q32" s="628"/>
    </row>
    <row r="33" spans="1:17" ht="25.5" customHeight="1" x14ac:dyDescent="0.25">
      <c r="A33" s="78">
        <v>44498</v>
      </c>
      <c r="B33" s="62">
        <v>3041568</v>
      </c>
      <c r="C33" s="62" t="s">
        <v>50</v>
      </c>
      <c r="D33" s="32">
        <v>111484.19</v>
      </c>
      <c r="E33" s="62" t="s">
        <v>68</v>
      </c>
      <c r="F33" s="62" t="s">
        <v>46</v>
      </c>
      <c r="G33" s="62" t="s">
        <v>126</v>
      </c>
      <c r="H33" s="62" t="s">
        <v>97</v>
      </c>
      <c r="I33" s="62" t="s">
        <v>173</v>
      </c>
      <c r="J33" s="62" t="s">
        <v>174</v>
      </c>
      <c r="K33" s="62" t="s">
        <v>179</v>
      </c>
      <c r="L33" s="62">
        <v>671</v>
      </c>
      <c r="M33" s="62">
        <v>29360</v>
      </c>
      <c r="N33" s="62" t="s">
        <v>38</v>
      </c>
      <c r="O33" s="634">
        <v>34225.646330000003</v>
      </c>
      <c r="P33" s="639">
        <f>O33/D33*100</f>
        <v>30.7</v>
      </c>
      <c r="Q33" s="634">
        <f>D33/(L33+L34)</f>
        <v>83.07316691505217</v>
      </c>
    </row>
    <row r="34" spans="1:17" ht="25.5" customHeight="1" x14ac:dyDescent="0.25">
      <c r="A34" s="78">
        <v>44498</v>
      </c>
      <c r="B34" s="62">
        <v>2816644</v>
      </c>
      <c r="C34" s="62" t="s">
        <v>9</v>
      </c>
      <c r="D34" s="32">
        <v>0</v>
      </c>
      <c r="E34" s="62"/>
      <c r="F34" s="62" t="s">
        <v>126</v>
      </c>
      <c r="G34" s="62" t="s">
        <v>46</v>
      </c>
      <c r="H34" s="62" t="s">
        <v>97</v>
      </c>
      <c r="I34" s="62" t="s">
        <v>173</v>
      </c>
      <c r="J34" s="62" t="s">
        <v>174</v>
      </c>
      <c r="K34" s="62" t="s">
        <v>179</v>
      </c>
      <c r="L34" s="62">
        <v>671</v>
      </c>
      <c r="M34" s="62">
        <v>0</v>
      </c>
      <c r="N34" s="62" t="s">
        <v>10</v>
      </c>
      <c r="O34" s="634"/>
      <c r="P34" s="639"/>
      <c r="Q34" s="634"/>
    </row>
    <row r="35" spans="1:17" ht="25.5" customHeight="1" x14ac:dyDescent="0.25">
      <c r="A35" s="3">
        <v>44498</v>
      </c>
      <c r="B35" s="4">
        <v>3042186</v>
      </c>
      <c r="C35" s="4" t="s">
        <v>50</v>
      </c>
      <c r="D35" s="5">
        <v>83085.570000000007</v>
      </c>
      <c r="E35" s="4" t="s">
        <v>68</v>
      </c>
      <c r="F35" s="4" t="s">
        <v>46</v>
      </c>
      <c r="G35" s="4" t="s">
        <v>78</v>
      </c>
      <c r="H35" s="4" t="s">
        <v>97</v>
      </c>
      <c r="I35" s="4" t="s">
        <v>173</v>
      </c>
      <c r="J35" s="4" t="s">
        <v>174</v>
      </c>
      <c r="K35" s="4" t="s">
        <v>179</v>
      </c>
      <c r="L35" s="4">
        <v>508</v>
      </c>
      <c r="M35" s="4">
        <v>28100</v>
      </c>
      <c r="N35" s="9" t="s">
        <v>38</v>
      </c>
      <c r="O35" s="24">
        <v>25507.269990000001</v>
      </c>
      <c r="P35" s="28">
        <f>O35/D35*100</f>
        <v>30.7</v>
      </c>
      <c r="Q35" s="24">
        <f>D35/L35</f>
        <v>163.55427165354331</v>
      </c>
    </row>
    <row r="36" spans="1:17" x14ac:dyDescent="0.25">
      <c r="A36" s="9"/>
      <c r="B36" s="9"/>
      <c r="C36" s="9"/>
      <c r="D36" s="18">
        <f>SUM(D4:D35)</f>
        <v>785023.03</v>
      </c>
      <c r="E36" s="9"/>
      <c r="F36" s="9"/>
      <c r="G36" s="9"/>
      <c r="H36" s="9"/>
      <c r="I36" s="9"/>
      <c r="J36" s="9"/>
      <c r="K36" s="9"/>
      <c r="L36" s="9">
        <f>SUM(L4:L35)</f>
        <v>9820</v>
      </c>
      <c r="M36" s="9"/>
      <c r="N36" s="9"/>
      <c r="O36" s="24">
        <f>SUM(O4:O35)</f>
        <v>241002.07020999998</v>
      </c>
      <c r="P36" s="28">
        <f>O36/D36*100</f>
        <v>30.699999999999996</v>
      </c>
      <c r="Q36" s="26">
        <f>D36/L36</f>
        <v>79.941245417515276</v>
      </c>
    </row>
    <row r="38" spans="1:17" ht="15" customHeight="1" x14ac:dyDescent="0.25">
      <c r="A38" s="36" t="s">
        <v>322</v>
      </c>
      <c r="B38" s="36" t="s">
        <v>323</v>
      </c>
      <c r="C38" s="36" t="s">
        <v>324</v>
      </c>
      <c r="D38" s="36" t="s">
        <v>325</v>
      </c>
      <c r="F38" s="37" t="s">
        <v>326</v>
      </c>
      <c r="G38" s="37" t="s">
        <v>327</v>
      </c>
      <c r="H38" s="37" t="s">
        <v>328</v>
      </c>
      <c r="I38" s="38"/>
    </row>
    <row r="39" spans="1:17" x14ac:dyDescent="0.25">
      <c r="A39" s="39">
        <f>D36/L36</f>
        <v>79.941245417515276</v>
      </c>
      <c r="B39" s="40">
        <f>COMBUSTIBLE!C101</f>
        <v>2852.02</v>
      </c>
      <c r="C39" s="41">
        <f>B39/L36*100</f>
        <v>29.04297352342159</v>
      </c>
      <c r="D39" s="42">
        <f>B45/B39</f>
        <v>68.28104554515582</v>
      </c>
      <c r="F39" s="43">
        <f>+B45/D36</f>
        <v>0.24806776371349931</v>
      </c>
      <c r="G39" s="43">
        <f>B50/D36</f>
        <v>0.29479800625159092</v>
      </c>
      <c r="H39" s="44"/>
      <c r="I39" s="38"/>
    </row>
    <row r="40" spans="1:17" x14ac:dyDescent="0.25">
      <c r="F40" s="38"/>
      <c r="G40" s="38"/>
      <c r="H40" s="38"/>
      <c r="I40" s="38"/>
    </row>
    <row r="41" spans="1:17" x14ac:dyDescent="0.25">
      <c r="A41" s="36"/>
      <c r="B41" s="36" t="s">
        <v>329</v>
      </c>
      <c r="C41" s="36" t="s">
        <v>330</v>
      </c>
      <c r="D41" s="36" t="s">
        <v>175</v>
      </c>
      <c r="K41" s="25"/>
      <c r="L41" s="29"/>
      <c r="M41" s="25"/>
      <c r="O41" s="2"/>
      <c r="P41" s="2"/>
      <c r="Q41" s="2"/>
    </row>
    <row r="42" spans="1:17" x14ac:dyDescent="0.25">
      <c r="A42" s="7" t="s">
        <v>331</v>
      </c>
      <c r="B42" s="24">
        <f>D36</f>
        <v>785023.03</v>
      </c>
      <c r="C42" s="45">
        <f>B43</f>
        <v>241002.07020999998</v>
      </c>
      <c r="D42" s="46">
        <f>C42/B42</f>
        <v>0.30699999999999994</v>
      </c>
      <c r="K42" s="25"/>
      <c r="L42" s="29"/>
      <c r="M42" s="25"/>
      <c r="O42" s="2"/>
      <c r="P42" s="2"/>
      <c r="Q42" s="2"/>
    </row>
    <row r="43" spans="1:17" x14ac:dyDescent="0.25">
      <c r="A43" s="47" t="s">
        <v>27</v>
      </c>
      <c r="B43" s="24">
        <f>O36</f>
        <v>241002.07020999998</v>
      </c>
      <c r="C43" s="9"/>
    </row>
    <row r="44" spans="1:17" x14ac:dyDescent="0.25">
      <c r="A44" s="48" t="s">
        <v>332</v>
      </c>
      <c r="B44" s="49">
        <f>(6*(78578.313+12454.55))/(150000+80000)*L36</f>
        <v>23320.244730260867</v>
      </c>
      <c r="C44" s="49">
        <f>(12*(78578.313+12454.55))/(150000+80000)*L36</f>
        <v>46640.489460521734</v>
      </c>
    </row>
    <row r="45" spans="1:17" x14ac:dyDescent="0.25">
      <c r="A45" s="48" t="s">
        <v>333</v>
      </c>
      <c r="B45" s="24">
        <f>COMBUSTIBLE!J101</f>
        <v>194738.90751569529</v>
      </c>
      <c r="C45" s="9"/>
    </row>
    <row r="46" spans="1:17" x14ac:dyDescent="0.25">
      <c r="A46" s="48" t="s">
        <v>334</v>
      </c>
      <c r="B46" s="24"/>
      <c r="C46" s="9"/>
    </row>
    <row r="47" spans="1:17" x14ac:dyDescent="0.25">
      <c r="A47" s="48" t="s">
        <v>335</v>
      </c>
      <c r="B47" s="24"/>
      <c r="C47" s="42"/>
    </row>
    <row r="48" spans="1:17" x14ac:dyDescent="0.25">
      <c r="A48" s="48" t="s">
        <v>336</v>
      </c>
      <c r="B48" s="24">
        <f>'PATENTE MUNICIPAL'!I26</f>
        <v>20.833333333333332</v>
      </c>
      <c r="C48" s="42"/>
    </row>
    <row r="49" spans="1:4" x14ac:dyDescent="0.25">
      <c r="A49" s="48" t="s">
        <v>337</v>
      </c>
      <c r="B49" s="24">
        <f>SEGURO!K30</f>
        <v>1238.75423086654</v>
      </c>
      <c r="C49" s="42">
        <f>SEGURO!K89</f>
        <v>261.09831688804553</v>
      </c>
    </row>
    <row r="50" spans="1:4" x14ac:dyDescent="0.25">
      <c r="A50" s="48" t="s">
        <v>338</v>
      </c>
      <c r="B50" s="24">
        <f>L36*SUELDOS!Z12</f>
        <v>231423.22410558286</v>
      </c>
      <c r="C50" s="42"/>
      <c r="D50" s="50">
        <f>B50/L36</f>
        <v>23.566519766352634</v>
      </c>
    </row>
    <row r="51" spans="1:4" x14ac:dyDescent="0.25">
      <c r="A51" s="48" t="s">
        <v>339</v>
      </c>
      <c r="B51" s="24">
        <f>'GASTOS TRACTOR'!H161</f>
        <v>30651.693728000002</v>
      </c>
      <c r="C51" s="42">
        <f>'GASTOS SEMI'!H210</f>
        <v>1663.11</v>
      </c>
    </row>
    <row r="52" spans="1:4" x14ac:dyDescent="0.25">
      <c r="A52" s="48" t="s">
        <v>340</v>
      </c>
      <c r="B52" s="24">
        <f>SUM(B44:B51)</f>
        <v>481393.65764373884</v>
      </c>
      <c r="C52" s="51">
        <f>SUM(C44:C51)</f>
        <v>48564.697777409783</v>
      </c>
    </row>
    <row r="53" spans="1:4" x14ac:dyDescent="0.25">
      <c r="A53" s="36" t="s">
        <v>341</v>
      </c>
      <c r="B53" s="52">
        <f>B42-B43-B52</f>
        <v>62627.30214626115</v>
      </c>
      <c r="C53" s="53">
        <f>C42-C43-C52</f>
        <v>192437.3724325902</v>
      </c>
      <c r="D53" s="52">
        <f>+B53+C53</f>
        <v>255064.67457885135</v>
      </c>
    </row>
  </sheetData>
  <sortState xmlns:xlrd2="http://schemas.microsoft.com/office/spreadsheetml/2017/richdata2" ref="A2:P33">
    <sortCondition ref="A1"/>
  </sortState>
  <mergeCells count="34">
    <mergeCell ref="Q15:Q17"/>
    <mergeCell ref="O15:O17"/>
    <mergeCell ref="P15:P17"/>
    <mergeCell ref="A1:Q2"/>
    <mergeCell ref="Q21:Q23"/>
    <mergeCell ref="P21:P23"/>
    <mergeCell ref="O21:O23"/>
    <mergeCell ref="Q18:Q20"/>
    <mergeCell ref="P18:P20"/>
    <mergeCell ref="O18:O20"/>
    <mergeCell ref="P12:P14"/>
    <mergeCell ref="O12:O14"/>
    <mergeCell ref="Q9:Q11"/>
    <mergeCell ref="P9:P11"/>
    <mergeCell ref="O9:O11"/>
    <mergeCell ref="Q12:Q14"/>
    <mergeCell ref="Q27:Q29"/>
    <mergeCell ref="P27:P29"/>
    <mergeCell ref="O27:O29"/>
    <mergeCell ref="Q24:Q26"/>
    <mergeCell ref="P24:P26"/>
    <mergeCell ref="O24:O26"/>
    <mergeCell ref="Q33:Q34"/>
    <mergeCell ref="P33:P34"/>
    <mergeCell ref="O33:O34"/>
    <mergeCell ref="Q30:Q32"/>
    <mergeCell ref="P30:P32"/>
    <mergeCell ref="O30:O32"/>
    <mergeCell ref="Q6:Q8"/>
    <mergeCell ref="P6:P8"/>
    <mergeCell ref="O6:O8"/>
    <mergeCell ref="Q4:Q5"/>
    <mergeCell ref="P4:P5"/>
    <mergeCell ref="O4:O5"/>
  </mergeCells>
  <conditionalFormatting sqref="C39">
    <cfRule type="cellIs" dxfId="70" priority="1" operator="lessThan">
      <formula>29</formula>
    </cfRule>
    <cfRule type="cellIs" dxfId="69" priority="2" operator="greaterThan">
      <formula>38</formula>
    </cfRule>
    <cfRule type="cellIs" dxfId="68" priority="3" operator="lessThan">
      <formula>38</formula>
    </cfRule>
    <cfRule type="cellIs" dxfId="67" priority="4" operator="lessThan">
      <formula>38</formula>
    </cfRule>
    <cfRule type="cellIs" dxfId="66" priority="5" operator="greaterThan">
      <formula>40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Q32"/>
  <sheetViews>
    <sheetView topLeftCell="G1" zoomScaleNormal="100" workbookViewId="0">
      <selection activeCell="O11" sqref="O11:O12"/>
    </sheetView>
  </sheetViews>
  <sheetFormatPr baseColWidth="10" defaultRowHeight="15" x14ac:dyDescent="0.25"/>
  <cols>
    <col min="1" max="1" width="14.42578125" style="2" bestFit="1" customWidth="1"/>
    <col min="2" max="2" width="14.5703125" style="2" bestFit="1" customWidth="1"/>
    <col min="3" max="3" width="39.140625" style="2" bestFit="1" customWidth="1"/>
    <col min="4" max="4" width="14.42578125" style="2" bestFit="1" customWidth="1"/>
    <col min="5" max="5" width="41" style="2" bestFit="1" customWidth="1"/>
    <col min="6" max="7" width="25.42578125" style="2" bestFit="1" customWidth="1"/>
    <col min="8" max="8" width="20.140625" style="2" bestFit="1" customWidth="1"/>
    <col min="9" max="9" width="25.42578125" style="2" bestFit="1" customWidth="1"/>
    <col min="10" max="10" width="8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7" t="s">
        <v>349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44472</v>
      </c>
      <c r="B4" s="11">
        <v>2816614</v>
      </c>
      <c r="C4" s="11" t="s">
        <v>9</v>
      </c>
      <c r="D4" s="31">
        <v>0</v>
      </c>
      <c r="E4" s="11"/>
      <c r="F4" s="11" t="s">
        <v>197</v>
      </c>
      <c r="G4" s="11" t="s">
        <v>74</v>
      </c>
      <c r="H4" s="11" t="s">
        <v>97</v>
      </c>
      <c r="I4" s="11" t="s">
        <v>198</v>
      </c>
      <c r="J4" s="11" t="s">
        <v>199</v>
      </c>
      <c r="K4" s="11" t="s">
        <v>200</v>
      </c>
      <c r="L4" s="11">
        <v>1350</v>
      </c>
      <c r="M4" s="11">
        <v>0</v>
      </c>
      <c r="N4" s="11" t="s">
        <v>10</v>
      </c>
      <c r="O4" s="630">
        <f>(D5+D7+D9)*30.7/100</f>
        <v>278001.59661999997</v>
      </c>
      <c r="P4" s="631">
        <f>O4/(D5+D7+D9)*100</f>
        <v>30.7</v>
      </c>
      <c r="Q4" s="630">
        <f>(D5+D7+D9)/(L4+L5+L6+L7+L8+L9+L10)</f>
        <v>116.28902786695774</v>
      </c>
    </row>
    <row r="5" spans="1:17" ht="25.5" customHeight="1" x14ac:dyDescent="0.25">
      <c r="A5" s="10">
        <v>44473</v>
      </c>
      <c r="B5" s="11">
        <v>3028053</v>
      </c>
      <c r="C5" s="11" t="s">
        <v>201</v>
      </c>
      <c r="D5" s="31">
        <f>213616.94+179701.3</f>
        <v>393318.24</v>
      </c>
      <c r="E5" s="11" t="s">
        <v>202</v>
      </c>
      <c r="F5" s="11" t="s">
        <v>74</v>
      </c>
      <c r="G5" s="11" t="s">
        <v>197</v>
      </c>
      <c r="H5" s="11" t="s">
        <v>97</v>
      </c>
      <c r="I5" s="11" t="s">
        <v>198</v>
      </c>
      <c r="J5" s="11" t="s">
        <v>199</v>
      </c>
      <c r="K5" s="11" t="s">
        <v>200</v>
      </c>
      <c r="L5" s="11">
        <v>1350</v>
      </c>
      <c r="M5" s="11">
        <v>0</v>
      </c>
      <c r="N5" s="11" t="s">
        <v>203</v>
      </c>
      <c r="O5" s="630"/>
      <c r="P5" s="631"/>
      <c r="Q5" s="630"/>
    </row>
    <row r="6" spans="1:17" ht="25.5" customHeight="1" x14ac:dyDescent="0.25">
      <c r="A6" s="10">
        <v>44479</v>
      </c>
      <c r="B6" s="11">
        <v>2816583</v>
      </c>
      <c r="C6" s="11" t="s">
        <v>9</v>
      </c>
      <c r="D6" s="31">
        <v>0</v>
      </c>
      <c r="E6" s="11"/>
      <c r="F6" s="11" t="s">
        <v>197</v>
      </c>
      <c r="G6" s="11" t="s">
        <v>74</v>
      </c>
      <c r="H6" s="11" t="s">
        <v>97</v>
      </c>
      <c r="I6" s="11" t="s">
        <v>198</v>
      </c>
      <c r="J6" s="11" t="s">
        <v>199</v>
      </c>
      <c r="K6" s="11" t="s">
        <v>200</v>
      </c>
      <c r="L6" s="11">
        <v>1350</v>
      </c>
      <c r="M6" s="11">
        <v>0</v>
      </c>
      <c r="N6" s="11" t="s">
        <v>10</v>
      </c>
      <c r="O6" s="630"/>
      <c r="P6" s="631"/>
      <c r="Q6" s="630"/>
    </row>
    <row r="7" spans="1:17" ht="25.5" customHeight="1" x14ac:dyDescent="0.25">
      <c r="A7" s="10">
        <v>44481</v>
      </c>
      <c r="B7" s="11">
        <v>3032104</v>
      </c>
      <c r="C7" s="11" t="s">
        <v>201</v>
      </c>
      <c r="D7" s="31">
        <f>209689.05+176397.03</f>
        <v>386086.07999999996</v>
      </c>
      <c r="E7" s="11" t="s">
        <v>202</v>
      </c>
      <c r="F7" s="11" t="s">
        <v>74</v>
      </c>
      <c r="G7" s="11" t="s">
        <v>197</v>
      </c>
      <c r="H7" s="11" t="s">
        <v>97</v>
      </c>
      <c r="I7" s="11" t="s">
        <v>198</v>
      </c>
      <c r="J7" s="11" t="s">
        <v>199</v>
      </c>
      <c r="K7" s="11" t="s">
        <v>200</v>
      </c>
      <c r="L7" s="11">
        <v>1350</v>
      </c>
      <c r="M7" s="11">
        <v>27720</v>
      </c>
      <c r="N7" s="11" t="s">
        <v>203</v>
      </c>
      <c r="O7" s="630"/>
      <c r="P7" s="631"/>
      <c r="Q7" s="630"/>
    </row>
    <row r="8" spans="1:17" ht="25.5" customHeight="1" x14ac:dyDescent="0.25">
      <c r="A8" s="10">
        <v>44485</v>
      </c>
      <c r="B8" s="11">
        <v>2816582</v>
      </c>
      <c r="C8" s="11" t="s">
        <v>9</v>
      </c>
      <c r="D8" s="31">
        <v>0</v>
      </c>
      <c r="E8" s="11"/>
      <c r="F8" s="11" t="s">
        <v>197</v>
      </c>
      <c r="G8" s="11" t="s">
        <v>74</v>
      </c>
      <c r="H8" s="11" t="s">
        <v>97</v>
      </c>
      <c r="I8" s="11" t="s">
        <v>198</v>
      </c>
      <c r="J8" s="11" t="s">
        <v>199</v>
      </c>
      <c r="K8" s="11" t="s">
        <v>200</v>
      </c>
      <c r="L8" s="11">
        <v>1350</v>
      </c>
      <c r="M8" s="11">
        <v>0</v>
      </c>
      <c r="N8" s="11" t="s">
        <v>10</v>
      </c>
      <c r="O8" s="630"/>
      <c r="P8" s="631"/>
      <c r="Q8" s="630"/>
    </row>
    <row r="9" spans="1:17" ht="25.5" customHeight="1" x14ac:dyDescent="0.25">
      <c r="A9" s="10">
        <v>44487</v>
      </c>
      <c r="B9" s="11">
        <v>3034992</v>
      </c>
      <c r="C9" s="11" t="s">
        <v>50</v>
      </c>
      <c r="D9" s="31">
        <v>126138.34</v>
      </c>
      <c r="E9" s="11" t="s">
        <v>95</v>
      </c>
      <c r="F9" s="11" t="s">
        <v>74</v>
      </c>
      <c r="G9" s="11" t="s">
        <v>96</v>
      </c>
      <c r="H9" s="11" t="s">
        <v>97</v>
      </c>
      <c r="I9" s="11" t="s">
        <v>198</v>
      </c>
      <c r="J9" s="11" t="s">
        <v>199</v>
      </c>
      <c r="K9" s="11" t="s">
        <v>204</v>
      </c>
      <c r="L9" s="11">
        <v>805</v>
      </c>
      <c r="M9" s="11">
        <v>29450</v>
      </c>
      <c r="N9" s="11" t="s">
        <v>38</v>
      </c>
      <c r="O9" s="630"/>
      <c r="P9" s="631"/>
      <c r="Q9" s="630"/>
    </row>
    <row r="10" spans="1:17" ht="25.5" customHeight="1" x14ac:dyDescent="0.25">
      <c r="A10" s="10">
        <v>44491</v>
      </c>
      <c r="B10" s="11">
        <v>2816584</v>
      </c>
      <c r="C10" s="11" t="s">
        <v>9</v>
      </c>
      <c r="D10" s="31">
        <v>0</v>
      </c>
      <c r="E10" s="11"/>
      <c r="F10" s="11" t="s">
        <v>96</v>
      </c>
      <c r="G10" s="11" t="s">
        <v>46</v>
      </c>
      <c r="H10" s="11" t="s">
        <v>97</v>
      </c>
      <c r="I10" s="11" t="s">
        <v>198</v>
      </c>
      <c r="J10" s="11" t="s">
        <v>199</v>
      </c>
      <c r="K10" s="11" t="s">
        <v>204</v>
      </c>
      <c r="L10" s="11">
        <v>232</v>
      </c>
      <c r="M10" s="11">
        <v>0</v>
      </c>
      <c r="N10" s="11" t="s">
        <v>10</v>
      </c>
      <c r="O10" s="630"/>
      <c r="P10" s="631"/>
      <c r="Q10" s="630"/>
    </row>
    <row r="11" spans="1:17" ht="25.5" customHeight="1" x14ac:dyDescent="0.25">
      <c r="A11" s="16">
        <v>44494</v>
      </c>
      <c r="B11" s="17">
        <v>3039348</v>
      </c>
      <c r="C11" s="17" t="s">
        <v>50</v>
      </c>
      <c r="D11" s="34">
        <v>44211.75</v>
      </c>
      <c r="E11" s="17" t="s">
        <v>68</v>
      </c>
      <c r="F11" s="17" t="s">
        <v>46</v>
      </c>
      <c r="G11" s="17" t="s">
        <v>205</v>
      </c>
      <c r="H11" s="17" t="s">
        <v>97</v>
      </c>
      <c r="I11" s="17" t="s">
        <v>198</v>
      </c>
      <c r="J11" s="17" t="s">
        <v>199</v>
      </c>
      <c r="K11" s="17" t="s">
        <v>204</v>
      </c>
      <c r="L11" s="17">
        <v>260</v>
      </c>
      <c r="M11" s="17">
        <v>29420</v>
      </c>
      <c r="N11" s="17" t="s">
        <v>38</v>
      </c>
      <c r="O11" s="628">
        <v>13573.007250000001</v>
      </c>
      <c r="P11" s="629">
        <f>O11/D11*100</f>
        <v>30.7</v>
      </c>
      <c r="Q11" s="628">
        <f>D11/(L11+L12)</f>
        <v>85.022596153846152</v>
      </c>
    </row>
    <row r="12" spans="1:17" ht="25.5" customHeight="1" x14ac:dyDescent="0.25">
      <c r="A12" s="16">
        <v>44495</v>
      </c>
      <c r="B12" s="17">
        <v>2816613</v>
      </c>
      <c r="C12" s="17" t="s">
        <v>9</v>
      </c>
      <c r="D12" s="34">
        <v>0</v>
      </c>
      <c r="E12" s="17"/>
      <c r="F12" s="17" t="s">
        <v>205</v>
      </c>
      <c r="G12" s="17" t="s">
        <v>46</v>
      </c>
      <c r="H12" s="17" t="s">
        <v>97</v>
      </c>
      <c r="I12" s="17" t="s">
        <v>198</v>
      </c>
      <c r="J12" s="17" t="s">
        <v>199</v>
      </c>
      <c r="K12" s="17" t="s">
        <v>204</v>
      </c>
      <c r="L12" s="17">
        <v>260</v>
      </c>
      <c r="M12" s="17">
        <v>0</v>
      </c>
      <c r="N12" s="17" t="s">
        <v>10</v>
      </c>
      <c r="O12" s="628"/>
      <c r="P12" s="629"/>
      <c r="Q12" s="628"/>
    </row>
    <row r="13" spans="1:17" ht="25.5" customHeight="1" x14ac:dyDescent="0.25">
      <c r="A13" s="12">
        <v>44496</v>
      </c>
      <c r="B13" s="13">
        <v>3039872</v>
      </c>
      <c r="C13" s="13" t="s">
        <v>50</v>
      </c>
      <c r="D13" s="33">
        <v>127565.64</v>
      </c>
      <c r="E13" s="13" t="s">
        <v>68</v>
      </c>
      <c r="F13" s="13" t="s">
        <v>46</v>
      </c>
      <c r="G13" s="13" t="s">
        <v>42</v>
      </c>
      <c r="H13" s="13" t="s">
        <v>97</v>
      </c>
      <c r="I13" s="13" t="s">
        <v>198</v>
      </c>
      <c r="J13" s="13" t="s">
        <v>199</v>
      </c>
      <c r="K13" s="13" t="s">
        <v>204</v>
      </c>
      <c r="L13" s="13">
        <v>802</v>
      </c>
      <c r="M13" s="13">
        <v>29140</v>
      </c>
      <c r="N13" s="13" t="s">
        <v>38</v>
      </c>
      <c r="O13" s="634">
        <v>39162.65148</v>
      </c>
      <c r="P13" s="635">
        <f>O13/D13*100</f>
        <v>30.7</v>
      </c>
      <c r="Q13" s="634">
        <f>D13/(L13+L14)</f>
        <v>79.52970074812967</v>
      </c>
    </row>
    <row r="14" spans="1:17" ht="25.5" customHeight="1" x14ac:dyDescent="0.25">
      <c r="A14" s="79">
        <v>44498</v>
      </c>
      <c r="B14" s="80">
        <v>2816631</v>
      </c>
      <c r="C14" s="80" t="s">
        <v>9</v>
      </c>
      <c r="D14" s="65">
        <v>0</v>
      </c>
      <c r="E14" s="80"/>
      <c r="F14" s="80" t="s">
        <v>42</v>
      </c>
      <c r="G14" s="80" t="s">
        <v>46</v>
      </c>
      <c r="H14" s="80" t="s">
        <v>97</v>
      </c>
      <c r="I14" s="80" t="s">
        <v>198</v>
      </c>
      <c r="J14" s="80" t="s">
        <v>199</v>
      </c>
      <c r="K14" s="80" t="s">
        <v>204</v>
      </c>
      <c r="L14" s="80">
        <v>802</v>
      </c>
      <c r="M14" s="80">
        <v>0</v>
      </c>
      <c r="N14" s="80" t="s">
        <v>10</v>
      </c>
      <c r="O14" s="634"/>
      <c r="P14" s="635"/>
      <c r="Q14" s="634"/>
    </row>
    <row r="15" spans="1:17" x14ac:dyDescent="0.25">
      <c r="A15" s="9"/>
      <c r="B15" s="9"/>
      <c r="C15" s="9"/>
      <c r="D15" s="18">
        <f>SUM(D4:D14)</f>
        <v>1077320.0499999998</v>
      </c>
      <c r="E15" s="9"/>
      <c r="F15" s="9"/>
      <c r="G15" s="9"/>
      <c r="H15" s="9"/>
      <c r="I15" s="9"/>
      <c r="J15" s="9"/>
      <c r="K15" s="9"/>
      <c r="L15" s="9">
        <f>SUM(L4:L14)</f>
        <v>9911</v>
      </c>
      <c r="M15" s="9"/>
      <c r="N15" s="9"/>
      <c r="O15" s="24">
        <f>SUM(O4:O14)</f>
        <v>330737.25534999999</v>
      </c>
      <c r="P15" s="64">
        <f>O15/D15*100</f>
        <v>30.700000000000006</v>
      </c>
      <c r="Q15" s="26">
        <f>D15/L15</f>
        <v>108.69942992634445</v>
      </c>
    </row>
    <row r="17" spans="1:17" ht="15" customHeight="1" x14ac:dyDescent="0.25">
      <c r="A17" s="36" t="s">
        <v>322</v>
      </c>
      <c r="B17" s="36" t="s">
        <v>323</v>
      </c>
      <c r="C17" s="36" t="s">
        <v>324</v>
      </c>
      <c r="D17" s="36" t="s">
        <v>325</v>
      </c>
      <c r="F17" s="37" t="s">
        <v>326</v>
      </c>
      <c r="G17" s="37" t="s">
        <v>327</v>
      </c>
      <c r="H17" s="37" t="s">
        <v>328</v>
      </c>
      <c r="I17" s="38"/>
    </row>
    <row r="18" spans="1:17" x14ac:dyDescent="0.25">
      <c r="A18" s="39">
        <f>D15/L15</f>
        <v>108.69942992634445</v>
      </c>
      <c r="B18" s="40">
        <f>COMBUSTIBLE!C109</f>
        <v>2992.79</v>
      </c>
      <c r="C18" s="41">
        <f>B18/L15*100</f>
        <v>30.196650186661284</v>
      </c>
      <c r="D18" s="42">
        <f>B24/B18</f>
        <v>69.805704032092635</v>
      </c>
      <c r="F18" s="43">
        <f>+B24/D15</f>
        <v>0.19391991541437156</v>
      </c>
      <c r="G18" s="43">
        <f>B29/D15</f>
        <v>0.29488692804495853</v>
      </c>
      <c r="H18" s="44"/>
      <c r="I18" s="38"/>
    </row>
    <row r="19" spans="1:17" x14ac:dyDescent="0.25">
      <c r="F19" s="38"/>
      <c r="G19" s="38"/>
      <c r="H19" s="38"/>
      <c r="I19" s="38"/>
    </row>
    <row r="20" spans="1:17" x14ac:dyDescent="0.25">
      <c r="A20" s="36"/>
      <c r="B20" s="36" t="s">
        <v>329</v>
      </c>
      <c r="C20" s="36" t="s">
        <v>330</v>
      </c>
      <c r="D20" s="36" t="s">
        <v>204</v>
      </c>
      <c r="K20" s="25"/>
      <c r="L20" s="29"/>
      <c r="M20" s="25"/>
      <c r="O20" s="2"/>
      <c r="P20" s="2"/>
      <c r="Q20" s="2"/>
    </row>
    <row r="21" spans="1:17" x14ac:dyDescent="0.25">
      <c r="A21" s="7" t="s">
        <v>331</v>
      </c>
      <c r="B21" s="24">
        <f>D15</f>
        <v>1077320.0499999998</v>
      </c>
      <c r="C21" s="45">
        <f>B22</f>
        <v>330737.25534999999</v>
      </c>
      <c r="D21" s="46">
        <f>C21/B21</f>
        <v>0.30700000000000005</v>
      </c>
      <c r="K21" s="25"/>
      <c r="L21" s="29"/>
      <c r="M21" s="25"/>
      <c r="O21" s="2"/>
      <c r="P21" s="2"/>
      <c r="Q21" s="2"/>
    </row>
    <row r="22" spans="1:17" x14ac:dyDescent="0.25">
      <c r="A22" s="47" t="s">
        <v>27</v>
      </c>
      <c r="B22" s="24">
        <f>O15</f>
        <v>330737.25534999999</v>
      </c>
      <c r="C22" s="9"/>
    </row>
    <row r="23" spans="1:17" x14ac:dyDescent="0.25">
      <c r="A23" s="48" t="s">
        <v>332</v>
      </c>
      <c r="B23" s="49">
        <f>(6*(78578.313+12454.55))/(150000+80000)*L15</f>
        <v>23536.348831121737</v>
      </c>
      <c r="C23" s="49">
        <f>(12*(78578.313+12454.55))/(150000+80000)*L15</f>
        <v>47072.697662243474</v>
      </c>
    </row>
    <row r="24" spans="1:17" x14ac:dyDescent="0.25">
      <c r="A24" s="48" t="s">
        <v>333</v>
      </c>
      <c r="B24" s="24">
        <f>COMBUSTIBLE!J109</f>
        <v>208913.81297020652</v>
      </c>
      <c r="C24" s="9"/>
    </row>
    <row r="25" spans="1:17" x14ac:dyDescent="0.25">
      <c r="A25" s="48" t="s">
        <v>334</v>
      </c>
      <c r="B25" s="24"/>
      <c r="C25" s="9"/>
    </row>
    <row r="26" spans="1:17" x14ac:dyDescent="0.25">
      <c r="A26" s="48" t="s">
        <v>335</v>
      </c>
      <c r="B26" s="24">
        <f>'PATENTE PROVINCIAL'!N33</f>
        <v>1471.7</v>
      </c>
      <c r="C26" s="42">
        <f>'PATENTE PROVINCIAL'!N70</f>
        <v>1183.5</v>
      </c>
    </row>
    <row r="27" spans="1:17" x14ac:dyDescent="0.25">
      <c r="A27" s="48" t="s">
        <v>336</v>
      </c>
      <c r="B27" s="24">
        <f>'PATENTE MUNICIPAL'!I40</f>
        <v>20.833333333333332</v>
      </c>
      <c r="C27" s="42">
        <f>'PATENTE MUNICIPAL'!I77</f>
        <v>1655.8966666666665</v>
      </c>
    </row>
    <row r="28" spans="1:17" x14ac:dyDescent="0.25">
      <c r="A28" s="48" t="s">
        <v>337</v>
      </c>
      <c r="B28" s="24">
        <f>SEGURO!K44</f>
        <v>1236.5432093611639</v>
      </c>
      <c r="C28" s="42">
        <f>SEGURO!K81</f>
        <v>261.09831688804553</v>
      </c>
    </row>
    <row r="29" spans="1:17" x14ac:dyDescent="0.25">
      <c r="A29" s="48" t="s">
        <v>338</v>
      </c>
      <c r="B29" s="24">
        <f>L15*SUELDOS!Z9</f>
        <v>317687.60006574105</v>
      </c>
      <c r="C29" s="42"/>
      <c r="D29" s="50">
        <f>B29/L15</f>
        <v>32.054040971217944</v>
      </c>
    </row>
    <row r="30" spans="1:17" x14ac:dyDescent="0.25">
      <c r="A30" s="48" t="s">
        <v>339</v>
      </c>
      <c r="B30" s="24">
        <f>'GASTOS TRACTOR'!H209</f>
        <v>98099.959999999992</v>
      </c>
      <c r="C30" s="42">
        <f>'GASTOS SEMI'!H200</f>
        <v>2999.3999999999996</v>
      </c>
    </row>
    <row r="31" spans="1:17" x14ac:dyDescent="0.25">
      <c r="A31" s="48" t="s">
        <v>340</v>
      </c>
      <c r="B31" s="24">
        <f>SUM(B23:B30)</f>
        <v>650966.79840976372</v>
      </c>
      <c r="C31" s="51">
        <f>SUM(C23:C30)</f>
        <v>53172.592645798191</v>
      </c>
    </row>
    <row r="32" spans="1:17" x14ac:dyDescent="0.25">
      <c r="A32" s="36" t="s">
        <v>341</v>
      </c>
      <c r="B32" s="52">
        <f>B21-B22-B31</f>
        <v>95615.996240236098</v>
      </c>
      <c r="C32" s="53">
        <f>C21-C22-C31</f>
        <v>277564.66270420182</v>
      </c>
      <c r="D32" s="52">
        <f>+B32+C32</f>
        <v>373180.65894443792</v>
      </c>
    </row>
  </sheetData>
  <sortState xmlns:xlrd2="http://schemas.microsoft.com/office/spreadsheetml/2017/richdata2" ref="A2:P13">
    <sortCondition ref="A1"/>
  </sortState>
  <mergeCells count="10">
    <mergeCell ref="Q4:Q10"/>
    <mergeCell ref="P4:P10"/>
    <mergeCell ref="O4:O10"/>
    <mergeCell ref="A1:Q2"/>
    <mergeCell ref="Q13:Q14"/>
    <mergeCell ref="P13:P14"/>
    <mergeCell ref="O13:O14"/>
    <mergeCell ref="Q11:Q12"/>
    <mergeCell ref="P11:P12"/>
    <mergeCell ref="O11:O12"/>
  </mergeCells>
  <conditionalFormatting sqref="C18">
    <cfRule type="cellIs" dxfId="65" priority="1" operator="lessThan">
      <formula>29</formula>
    </cfRule>
    <cfRule type="cellIs" dxfId="64" priority="2" operator="greaterThan">
      <formula>38</formula>
    </cfRule>
    <cfRule type="cellIs" dxfId="63" priority="3" operator="lessThan">
      <formula>38</formula>
    </cfRule>
    <cfRule type="cellIs" dxfId="62" priority="4" operator="lessThan">
      <formula>38</formula>
    </cfRule>
    <cfRule type="cellIs" dxfId="61" priority="5" operator="greaterThan">
      <formula>40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Q36"/>
  <sheetViews>
    <sheetView topLeftCell="A10" zoomScaleNormal="100" workbookViewId="0">
      <selection activeCell="A22" sqref="A22"/>
    </sheetView>
  </sheetViews>
  <sheetFormatPr baseColWidth="10" defaultRowHeight="15" x14ac:dyDescent="0.25"/>
  <cols>
    <col min="1" max="1" width="14.42578125" style="2" bestFit="1" customWidth="1"/>
    <col min="2" max="2" width="16.7109375" style="2" bestFit="1" customWidth="1"/>
    <col min="3" max="3" width="39.140625" style="2" bestFit="1" customWidth="1"/>
    <col min="4" max="4" width="14.5703125" style="2" bestFit="1" customWidth="1"/>
    <col min="5" max="5" width="41" style="2" bestFit="1" customWidth="1"/>
    <col min="6" max="7" width="47.42578125" style="2" bestFit="1" customWidth="1"/>
    <col min="8" max="8" width="20.140625" style="2" bestFit="1" customWidth="1"/>
    <col min="9" max="9" width="25.5703125" style="2" bestFit="1" customWidth="1"/>
    <col min="10" max="10" width="8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7" t="s">
        <v>350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44473</v>
      </c>
      <c r="B4" s="11">
        <v>3029240</v>
      </c>
      <c r="C4" s="11" t="s">
        <v>50</v>
      </c>
      <c r="D4" s="31">
        <v>104627.45</v>
      </c>
      <c r="E4" s="11" t="s">
        <v>51</v>
      </c>
      <c r="F4" s="11" t="s">
        <v>46</v>
      </c>
      <c r="G4" s="11" t="s">
        <v>195</v>
      </c>
      <c r="H4" s="11" t="s">
        <v>97</v>
      </c>
      <c r="I4" s="11" t="s">
        <v>206</v>
      </c>
      <c r="J4" s="11" t="s">
        <v>207</v>
      </c>
      <c r="K4" s="11" t="s">
        <v>204</v>
      </c>
      <c r="L4" s="11">
        <v>630</v>
      </c>
      <c r="M4" s="11">
        <v>29240</v>
      </c>
      <c r="N4" s="11" t="s">
        <v>38</v>
      </c>
      <c r="O4" s="637">
        <v>32120.62715</v>
      </c>
      <c r="P4" s="631">
        <f>O4/D4*100</f>
        <v>30.7</v>
      </c>
      <c r="Q4" s="630">
        <f>D4/(L4+L5)</f>
        <v>83.037658730158725</v>
      </c>
    </row>
    <row r="5" spans="1:17" ht="25.5" customHeight="1" x14ac:dyDescent="0.25">
      <c r="A5" s="10">
        <v>44475</v>
      </c>
      <c r="B5" s="11">
        <v>2816370</v>
      </c>
      <c r="C5" s="11" t="s">
        <v>9</v>
      </c>
      <c r="D5" s="31">
        <v>0</v>
      </c>
      <c r="E5" s="11"/>
      <c r="F5" s="11" t="s">
        <v>195</v>
      </c>
      <c r="G5" s="11" t="s">
        <v>46</v>
      </c>
      <c r="H5" s="11" t="s">
        <v>97</v>
      </c>
      <c r="I5" s="11" t="s">
        <v>206</v>
      </c>
      <c r="J5" s="11" t="s">
        <v>207</v>
      </c>
      <c r="K5" s="11" t="s">
        <v>204</v>
      </c>
      <c r="L5" s="11">
        <v>630</v>
      </c>
      <c r="M5" s="11">
        <v>0</v>
      </c>
      <c r="N5" s="11" t="s">
        <v>10</v>
      </c>
      <c r="O5" s="638"/>
      <c r="P5" s="631"/>
      <c r="Q5" s="630"/>
    </row>
    <row r="6" spans="1:17" ht="25.5" customHeight="1" x14ac:dyDescent="0.25">
      <c r="A6" s="16">
        <v>44476</v>
      </c>
      <c r="B6" s="17">
        <v>3031304</v>
      </c>
      <c r="C6" s="17" t="s">
        <v>50</v>
      </c>
      <c r="D6" s="34">
        <v>42829.19</v>
      </c>
      <c r="E6" s="17" t="s">
        <v>51</v>
      </c>
      <c r="F6" s="17" t="s">
        <v>46</v>
      </c>
      <c r="G6" s="17" t="s">
        <v>205</v>
      </c>
      <c r="H6" s="17" t="s">
        <v>97</v>
      </c>
      <c r="I6" s="17" t="s">
        <v>206</v>
      </c>
      <c r="J6" s="17" t="s">
        <v>207</v>
      </c>
      <c r="K6" s="17" t="s">
        <v>179</v>
      </c>
      <c r="L6" s="17">
        <v>260</v>
      </c>
      <c r="M6" s="17">
        <v>0</v>
      </c>
      <c r="N6" s="17" t="s">
        <v>38</v>
      </c>
      <c r="O6" s="644">
        <v>13148.56133</v>
      </c>
      <c r="P6" s="629">
        <f>O6/D6*100</f>
        <v>30.7</v>
      </c>
      <c r="Q6" s="628">
        <f>D6/(L6+L7)</f>
        <v>82.363826923076928</v>
      </c>
    </row>
    <row r="7" spans="1:17" ht="25.5" customHeight="1" x14ac:dyDescent="0.25">
      <c r="A7" s="16">
        <v>44477</v>
      </c>
      <c r="B7" s="17">
        <v>2816382</v>
      </c>
      <c r="C7" s="17" t="s">
        <v>9</v>
      </c>
      <c r="D7" s="34">
        <v>0</v>
      </c>
      <c r="E7" s="17"/>
      <c r="F7" s="17" t="s">
        <v>205</v>
      </c>
      <c r="G7" s="17" t="s">
        <v>46</v>
      </c>
      <c r="H7" s="17" t="s">
        <v>97</v>
      </c>
      <c r="I7" s="17" t="s">
        <v>206</v>
      </c>
      <c r="J7" s="17" t="s">
        <v>207</v>
      </c>
      <c r="K7" s="17" t="s">
        <v>179</v>
      </c>
      <c r="L7" s="17">
        <v>260</v>
      </c>
      <c r="M7" s="17">
        <v>0</v>
      </c>
      <c r="N7" s="17" t="s">
        <v>10</v>
      </c>
      <c r="O7" s="645"/>
      <c r="P7" s="629"/>
      <c r="Q7" s="628"/>
    </row>
    <row r="8" spans="1:17" ht="25.5" customHeight="1" x14ac:dyDescent="0.25">
      <c r="A8" s="12">
        <v>44477</v>
      </c>
      <c r="B8" s="13">
        <v>3031711</v>
      </c>
      <c r="C8" s="13" t="s">
        <v>50</v>
      </c>
      <c r="D8" s="33">
        <v>130397.65</v>
      </c>
      <c r="E8" s="13" t="s">
        <v>68</v>
      </c>
      <c r="F8" s="13" t="s">
        <v>46</v>
      </c>
      <c r="G8" s="13" t="s">
        <v>209</v>
      </c>
      <c r="H8" s="13" t="s">
        <v>97</v>
      </c>
      <c r="I8" s="13" t="s">
        <v>206</v>
      </c>
      <c r="J8" s="13" t="s">
        <v>207</v>
      </c>
      <c r="K8" s="13" t="s">
        <v>179</v>
      </c>
      <c r="L8" s="13">
        <v>820</v>
      </c>
      <c r="M8" s="13">
        <v>28100</v>
      </c>
      <c r="N8" s="13" t="s">
        <v>38</v>
      </c>
      <c r="O8" s="640">
        <v>40216.278550000003</v>
      </c>
      <c r="P8" s="635">
        <f>O8/(D8+D9)*100</f>
        <v>30.700000000000006</v>
      </c>
      <c r="Q8" s="634">
        <f>(D8+D9)/(L8+L9+L10)</f>
        <v>79.876615853658535</v>
      </c>
    </row>
    <row r="9" spans="1:17" ht="25.5" customHeight="1" x14ac:dyDescent="0.25">
      <c r="A9" s="12">
        <v>44478</v>
      </c>
      <c r="B9" s="13" t="s">
        <v>210</v>
      </c>
      <c r="C9" s="13" t="s">
        <v>169</v>
      </c>
      <c r="D9" s="33">
        <v>600</v>
      </c>
      <c r="E9" s="13" t="s">
        <v>211</v>
      </c>
      <c r="F9" s="13" t="s">
        <v>46</v>
      </c>
      <c r="G9" s="13" t="s">
        <v>209</v>
      </c>
      <c r="H9" s="13" t="s">
        <v>97</v>
      </c>
      <c r="I9" s="13" t="s">
        <v>206</v>
      </c>
      <c r="J9" s="13" t="s">
        <v>207</v>
      </c>
      <c r="K9" s="13" t="s">
        <v>179</v>
      </c>
      <c r="L9" s="13">
        <v>0</v>
      </c>
      <c r="M9" s="13">
        <v>0</v>
      </c>
      <c r="N9" s="13" t="s">
        <v>10</v>
      </c>
      <c r="O9" s="641"/>
      <c r="P9" s="635"/>
      <c r="Q9" s="634"/>
    </row>
    <row r="10" spans="1:17" ht="25.5" customHeight="1" x14ac:dyDescent="0.25">
      <c r="A10" s="12">
        <v>44481</v>
      </c>
      <c r="B10" s="13">
        <v>2816499</v>
      </c>
      <c r="C10" s="13" t="s">
        <v>9</v>
      </c>
      <c r="D10" s="33">
        <v>0</v>
      </c>
      <c r="E10" s="13"/>
      <c r="F10" s="13" t="s">
        <v>209</v>
      </c>
      <c r="G10" s="13" t="s">
        <v>46</v>
      </c>
      <c r="H10" s="13" t="s">
        <v>97</v>
      </c>
      <c r="I10" s="13" t="s">
        <v>206</v>
      </c>
      <c r="J10" s="13" t="s">
        <v>207</v>
      </c>
      <c r="K10" s="13" t="s">
        <v>179</v>
      </c>
      <c r="L10" s="13">
        <v>820</v>
      </c>
      <c r="M10" s="13">
        <v>0</v>
      </c>
      <c r="N10" s="13" t="s">
        <v>10</v>
      </c>
      <c r="O10" s="642"/>
      <c r="P10" s="635"/>
      <c r="Q10" s="634"/>
    </row>
    <row r="11" spans="1:17" ht="25.5" customHeight="1" x14ac:dyDescent="0.25">
      <c r="A11" s="73">
        <v>44484</v>
      </c>
      <c r="B11" s="60">
        <v>3034184</v>
      </c>
      <c r="C11" s="60" t="s">
        <v>50</v>
      </c>
      <c r="D11" s="30">
        <v>88848.45</v>
      </c>
      <c r="E11" s="60" t="s">
        <v>68</v>
      </c>
      <c r="F11" s="60" t="s">
        <v>46</v>
      </c>
      <c r="G11" s="60" t="s">
        <v>69</v>
      </c>
      <c r="H11" s="60" t="s">
        <v>97</v>
      </c>
      <c r="I11" s="60" t="s">
        <v>206</v>
      </c>
      <c r="J11" s="60" t="s">
        <v>207</v>
      </c>
      <c r="K11" s="60" t="s">
        <v>204</v>
      </c>
      <c r="L11" s="60">
        <v>528</v>
      </c>
      <c r="M11" s="60">
        <v>29340</v>
      </c>
      <c r="N11" s="60" t="s">
        <v>38</v>
      </c>
      <c r="O11" s="637">
        <v>225317.36</v>
      </c>
      <c r="P11" s="631">
        <f>O11/(D11+D13+D15+D17)*100</f>
        <v>17.110777887995706</v>
      </c>
      <c r="Q11" s="630">
        <f>(D11+D13+D15+D17)/(L11+L12+L13+L14+L15+L16+L17+L18)</f>
        <v>152.28581126402219</v>
      </c>
    </row>
    <row r="12" spans="1:17" ht="25.5" customHeight="1" x14ac:dyDescent="0.25">
      <c r="A12" s="73">
        <v>44486</v>
      </c>
      <c r="B12" s="60">
        <v>2816558</v>
      </c>
      <c r="C12" s="60" t="s">
        <v>9</v>
      </c>
      <c r="D12" s="30">
        <v>0</v>
      </c>
      <c r="E12" s="60"/>
      <c r="F12" s="60" t="s">
        <v>69</v>
      </c>
      <c r="G12" s="60" t="s">
        <v>74</v>
      </c>
      <c r="H12" s="60" t="s">
        <v>97</v>
      </c>
      <c r="I12" s="60" t="s">
        <v>206</v>
      </c>
      <c r="J12" s="60" t="s">
        <v>207</v>
      </c>
      <c r="K12" s="60" t="s">
        <v>204</v>
      </c>
      <c r="L12" s="60">
        <v>169</v>
      </c>
      <c r="M12" s="60">
        <v>0</v>
      </c>
      <c r="N12" s="60" t="s">
        <v>10</v>
      </c>
      <c r="O12" s="650"/>
      <c r="P12" s="631"/>
      <c r="Q12" s="630"/>
    </row>
    <row r="13" spans="1:17" ht="25.5" customHeight="1" x14ac:dyDescent="0.25">
      <c r="A13" s="73">
        <v>44488</v>
      </c>
      <c r="B13" s="60">
        <v>3032919</v>
      </c>
      <c r="C13" s="60" t="s">
        <v>201</v>
      </c>
      <c r="D13" s="30">
        <f>212506.49+179767.51</f>
        <v>392274</v>
      </c>
      <c r="E13" s="60" t="s">
        <v>212</v>
      </c>
      <c r="F13" s="60" t="s">
        <v>74</v>
      </c>
      <c r="G13" s="60" t="s">
        <v>197</v>
      </c>
      <c r="H13" s="60" t="s">
        <v>97</v>
      </c>
      <c r="I13" s="60" t="s">
        <v>206</v>
      </c>
      <c r="J13" s="60" t="s">
        <v>207</v>
      </c>
      <c r="K13" s="60" t="s">
        <v>204</v>
      </c>
      <c r="L13" s="60">
        <v>1325</v>
      </c>
      <c r="M13" s="60">
        <v>27900</v>
      </c>
      <c r="N13" s="60" t="s">
        <v>203</v>
      </c>
      <c r="O13" s="650"/>
      <c r="P13" s="631"/>
      <c r="Q13" s="630"/>
    </row>
    <row r="14" spans="1:17" ht="25.5" customHeight="1" x14ac:dyDescent="0.25">
      <c r="A14" s="73">
        <v>44490</v>
      </c>
      <c r="B14" s="60">
        <v>2816599</v>
      </c>
      <c r="C14" s="60" t="s">
        <v>9</v>
      </c>
      <c r="D14" s="30">
        <v>0</v>
      </c>
      <c r="E14" s="60"/>
      <c r="F14" s="60" t="s">
        <v>197</v>
      </c>
      <c r="G14" s="60" t="s">
        <v>74</v>
      </c>
      <c r="H14" s="60" t="s">
        <v>97</v>
      </c>
      <c r="I14" s="60" t="s">
        <v>206</v>
      </c>
      <c r="J14" s="60" t="s">
        <v>207</v>
      </c>
      <c r="K14" s="60" t="s">
        <v>200</v>
      </c>
      <c r="L14" s="60">
        <v>1325</v>
      </c>
      <c r="M14" s="60">
        <v>0</v>
      </c>
      <c r="N14" s="60" t="s">
        <v>10</v>
      </c>
      <c r="O14" s="650"/>
      <c r="P14" s="631"/>
      <c r="Q14" s="630"/>
    </row>
    <row r="15" spans="1:17" ht="25.5" customHeight="1" x14ac:dyDescent="0.25">
      <c r="A15" s="73">
        <v>44491</v>
      </c>
      <c r="B15" s="60">
        <v>3032120</v>
      </c>
      <c r="C15" s="60" t="s">
        <v>201</v>
      </c>
      <c r="D15" s="30">
        <f>215705.51+199692.25</f>
        <v>415397.76</v>
      </c>
      <c r="E15" s="60" t="s">
        <v>212</v>
      </c>
      <c r="F15" s="60" t="s">
        <v>74</v>
      </c>
      <c r="G15" s="60" t="s">
        <v>197</v>
      </c>
      <c r="H15" s="60" t="s">
        <v>97</v>
      </c>
      <c r="I15" s="60" t="s">
        <v>206</v>
      </c>
      <c r="J15" s="60" t="s">
        <v>207</v>
      </c>
      <c r="K15" s="60" t="s">
        <v>200</v>
      </c>
      <c r="L15" s="60">
        <v>1325</v>
      </c>
      <c r="M15" s="60">
        <v>0</v>
      </c>
      <c r="N15" s="60" t="s">
        <v>213</v>
      </c>
      <c r="O15" s="650"/>
      <c r="P15" s="631"/>
      <c r="Q15" s="630"/>
    </row>
    <row r="16" spans="1:17" ht="25.5" customHeight="1" x14ac:dyDescent="0.25">
      <c r="A16" s="73">
        <v>44495</v>
      </c>
      <c r="B16" s="60">
        <v>2816600</v>
      </c>
      <c r="C16" s="60" t="s">
        <v>9</v>
      </c>
      <c r="D16" s="30">
        <v>0</v>
      </c>
      <c r="E16" s="60"/>
      <c r="F16" s="60" t="s">
        <v>197</v>
      </c>
      <c r="G16" s="60" t="s">
        <v>74</v>
      </c>
      <c r="H16" s="60" t="s">
        <v>97</v>
      </c>
      <c r="I16" s="60" t="s">
        <v>206</v>
      </c>
      <c r="J16" s="60" t="s">
        <v>207</v>
      </c>
      <c r="K16" s="60" t="s">
        <v>200</v>
      </c>
      <c r="L16" s="60">
        <v>1325</v>
      </c>
      <c r="M16" s="60">
        <v>0</v>
      </c>
      <c r="N16" s="60" t="s">
        <v>10</v>
      </c>
      <c r="O16" s="650"/>
      <c r="P16" s="631"/>
      <c r="Q16" s="630"/>
    </row>
    <row r="17" spans="1:17" ht="25.5" customHeight="1" x14ac:dyDescent="0.25">
      <c r="A17" s="73">
        <v>44496</v>
      </c>
      <c r="B17" s="60">
        <v>3040729</v>
      </c>
      <c r="C17" s="60" t="s">
        <v>201</v>
      </c>
      <c r="D17" s="30">
        <f>216872.32+203422.88</f>
        <v>420295.2</v>
      </c>
      <c r="E17" s="60"/>
      <c r="F17" s="60" t="s">
        <v>74</v>
      </c>
      <c r="G17" s="60" t="s">
        <v>197</v>
      </c>
      <c r="H17" s="60" t="s">
        <v>97</v>
      </c>
      <c r="I17" s="60" t="s">
        <v>206</v>
      </c>
      <c r="J17" s="60" t="s">
        <v>207</v>
      </c>
      <c r="K17" s="60" t="s">
        <v>200</v>
      </c>
      <c r="L17" s="60">
        <v>1325</v>
      </c>
      <c r="M17" s="60">
        <v>28.36</v>
      </c>
      <c r="N17" s="60" t="s">
        <v>213</v>
      </c>
      <c r="O17" s="650"/>
      <c r="P17" s="631"/>
      <c r="Q17" s="630"/>
    </row>
    <row r="18" spans="1:17" ht="25.5" customHeight="1" x14ac:dyDescent="0.25">
      <c r="A18" s="73">
        <v>44499</v>
      </c>
      <c r="B18" s="60">
        <v>2816657</v>
      </c>
      <c r="C18" s="60" t="s">
        <v>9</v>
      </c>
      <c r="D18" s="30">
        <v>0</v>
      </c>
      <c r="E18" s="60"/>
      <c r="F18" s="60" t="s">
        <v>197</v>
      </c>
      <c r="G18" s="60" t="s">
        <v>74</v>
      </c>
      <c r="H18" s="60" t="s">
        <v>97</v>
      </c>
      <c r="I18" s="60" t="s">
        <v>206</v>
      </c>
      <c r="J18" s="60" t="s">
        <v>207</v>
      </c>
      <c r="K18" s="60" t="s">
        <v>200</v>
      </c>
      <c r="L18" s="60">
        <v>1325</v>
      </c>
      <c r="M18" s="60">
        <v>0</v>
      </c>
      <c r="N18" s="60" t="s">
        <v>10</v>
      </c>
      <c r="O18" s="638"/>
      <c r="P18" s="631"/>
      <c r="Q18" s="630"/>
    </row>
    <row r="19" spans="1:17" x14ac:dyDescent="0.25">
      <c r="A19" s="9"/>
      <c r="B19" s="9"/>
      <c r="C19" s="9"/>
      <c r="D19" s="18">
        <f>SUM(D4:D18)</f>
        <v>1595269.7</v>
      </c>
      <c r="E19" s="9"/>
      <c r="F19" s="9"/>
      <c r="G19" s="9"/>
      <c r="H19" s="9"/>
      <c r="I19" s="9"/>
      <c r="J19" s="9"/>
      <c r="K19" s="9"/>
      <c r="L19" s="9">
        <f>SUM(L4:L18)</f>
        <v>12067</v>
      </c>
      <c r="M19" s="9"/>
      <c r="N19" s="9"/>
      <c r="O19" s="24">
        <f>SUM(O4:O18)</f>
        <v>310802.82702999999</v>
      </c>
      <c r="P19" s="64">
        <f>O19/D19*100</f>
        <v>19.482776299831933</v>
      </c>
      <c r="Q19" s="26">
        <f>D19/L19</f>
        <v>132.20101930885886</v>
      </c>
    </row>
    <row r="21" spans="1:17" ht="15" customHeight="1" x14ac:dyDescent="0.25">
      <c r="A21" s="36" t="s">
        <v>322</v>
      </c>
      <c r="B21" s="36" t="s">
        <v>323</v>
      </c>
      <c r="C21" s="36" t="s">
        <v>324</v>
      </c>
      <c r="D21" s="36" t="s">
        <v>325</v>
      </c>
      <c r="F21" s="37" t="s">
        <v>326</v>
      </c>
      <c r="G21" s="37" t="s">
        <v>327</v>
      </c>
      <c r="H21" s="37" t="s">
        <v>328</v>
      </c>
      <c r="I21" s="38"/>
    </row>
    <row r="22" spans="1:17" x14ac:dyDescent="0.25">
      <c r="A22" s="39">
        <f>D19/L19</f>
        <v>132.20101930885886</v>
      </c>
      <c r="B22" s="40">
        <f>COMBUSTIBLE!C118</f>
        <v>4389.0600000000004</v>
      </c>
      <c r="C22" s="41">
        <f>B22/L19*100</f>
        <v>36.372420651363221</v>
      </c>
      <c r="D22" s="42">
        <f>B28/B22</f>
        <v>69.054363272951733</v>
      </c>
      <c r="F22" s="43">
        <f>+B28/D19</f>
        <v>0.18998903048605612</v>
      </c>
      <c r="G22" s="43">
        <f>B33/D19</f>
        <v>0.25071149962532169</v>
      </c>
      <c r="H22" s="44"/>
      <c r="I22" s="38"/>
    </row>
    <row r="23" spans="1:17" x14ac:dyDescent="0.25">
      <c r="F23" s="38"/>
      <c r="G23" s="38"/>
      <c r="H23" s="38"/>
      <c r="I23" s="38"/>
    </row>
    <row r="24" spans="1:17" x14ac:dyDescent="0.25">
      <c r="A24" s="36"/>
      <c r="B24" s="36" t="s">
        <v>329</v>
      </c>
      <c r="C24" s="36" t="s">
        <v>330</v>
      </c>
      <c r="D24" s="36" t="s">
        <v>200</v>
      </c>
      <c r="K24" s="25"/>
      <c r="L24" s="29"/>
      <c r="M24" s="25"/>
      <c r="O24" s="2"/>
      <c r="P24" s="2"/>
      <c r="Q24" s="2"/>
    </row>
    <row r="25" spans="1:17" x14ac:dyDescent="0.25">
      <c r="A25" s="7" t="s">
        <v>331</v>
      </c>
      <c r="B25" s="24">
        <f>D19</f>
        <v>1595269.7</v>
      </c>
      <c r="C25" s="45">
        <f>B26</f>
        <v>310802.82702999999</v>
      </c>
      <c r="D25" s="46">
        <f>C25/B25</f>
        <v>0.19482776299831933</v>
      </c>
      <c r="K25" s="25"/>
      <c r="L25" s="29"/>
      <c r="M25" s="25"/>
      <c r="O25" s="2"/>
      <c r="P25" s="2"/>
      <c r="Q25" s="2"/>
    </row>
    <row r="26" spans="1:17" x14ac:dyDescent="0.25">
      <c r="A26" s="47" t="s">
        <v>27</v>
      </c>
      <c r="B26" s="24">
        <f>O19</f>
        <v>310802.82702999999</v>
      </c>
      <c r="C26" s="9"/>
    </row>
    <row r="27" spans="1:17" x14ac:dyDescent="0.25">
      <c r="A27" s="48" t="s">
        <v>332</v>
      </c>
      <c r="B27" s="49">
        <f>(6*(78578.313+12454.55))/(150000+80000)*L19</f>
        <v>28656.353682286954</v>
      </c>
      <c r="C27" s="49">
        <f>(12*(78578.313+12454.55))/(150000+80000)*L19</f>
        <v>57312.707364573907</v>
      </c>
    </row>
    <row r="28" spans="1:17" x14ac:dyDescent="0.25">
      <c r="A28" s="48" t="s">
        <v>333</v>
      </c>
      <c r="B28" s="24">
        <f>COMBUSTIBLE!J118</f>
        <v>303083.74366678158</v>
      </c>
      <c r="C28" s="9"/>
    </row>
    <row r="29" spans="1:17" x14ac:dyDescent="0.25">
      <c r="A29" s="48" t="s">
        <v>334</v>
      </c>
      <c r="B29" s="24"/>
      <c r="C29" s="9"/>
    </row>
    <row r="30" spans="1:17" x14ac:dyDescent="0.25">
      <c r="A30" s="48" t="s">
        <v>335</v>
      </c>
      <c r="B30" s="24">
        <f>'PATENTE PROVINCIAL'!N34</f>
        <v>1471.7</v>
      </c>
      <c r="C30" s="42"/>
    </row>
    <row r="31" spans="1:17" x14ac:dyDescent="0.25">
      <c r="A31" s="48" t="s">
        <v>336</v>
      </c>
      <c r="B31" s="24">
        <f>'PATENTE MUNICIPAL'!I41</f>
        <v>20.833333333333332</v>
      </c>
      <c r="C31" s="42">
        <f>'PATENTE MUNICIPAL'!I42</f>
        <v>20.833333333333332</v>
      </c>
    </row>
    <row r="32" spans="1:17" x14ac:dyDescent="0.25">
      <c r="A32" s="48" t="s">
        <v>337</v>
      </c>
      <c r="B32" s="24">
        <f>SEGURO!K45</f>
        <v>9849.0566502213787</v>
      </c>
      <c r="C32" s="42">
        <f>SEGURO!K46</f>
        <v>261.09831688804553</v>
      </c>
    </row>
    <row r="33" spans="1:4" x14ac:dyDescent="0.25">
      <c r="A33" s="48" t="s">
        <v>338</v>
      </c>
      <c r="B33" s="24">
        <f>L19*SUELDOS!Z8</f>
        <v>399952.45879383705</v>
      </c>
      <c r="C33" s="42"/>
      <c r="D33" s="50">
        <f>B33/L19</f>
        <v>33.144315802920119</v>
      </c>
    </row>
    <row r="34" spans="1:4" x14ac:dyDescent="0.25">
      <c r="A34" s="48" t="s">
        <v>339</v>
      </c>
      <c r="B34" s="24">
        <f>'GASTOS TRACTOR'!H239</f>
        <v>53739.610541999988</v>
      </c>
      <c r="C34" s="42">
        <f>'GASTOS SEMI'!H122</f>
        <v>1161.48</v>
      </c>
    </row>
    <row r="35" spans="1:4" x14ac:dyDescent="0.25">
      <c r="A35" s="48" t="s">
        <v>340</v>
      </c>
      <c r="B35" s="24">
        <f>SUM(B27:B34)</f>
        <v>796773.75666846032</v>
      </c>
      <c r="C35" s="51">
        <f>SUM(C27:C34)</f>
        <v>58756.119014795295</v>
      </c>
    </row>
    <row r="36" spans="1:4" x14ac:dyDescent="0.25">
      <c r="A36" s="36" t="s">
        <v>341</v>
      </c>
      <c r="B36" s="52">
        <f>B25-B26-B35</f>
        <v>487693.11630153959</v>
      </c>
      <c r="C36" s="53">
        <f>C25-C26-C35</f>
        <v>252046.7080152047</v>
      </c>
      <c r="D36" s="52">
        <f>+B36+C36</f>
        <v>739739.82431674423</v>
      </c>
    </row>
  </sheetData>
  <sortState xmlns:xlrd2="http://schemas.microsoft.com/office/spreadsheetml/2017/richdata2" ref="A2:P16">
    <sortCondition ref="A1"/>
  </sortState>
  <mergeCells count="13">
    <mergeCell ref="A1:Q2"/>
    <mergeCell ref="Q6:Q7"/>
    <mergeCell ref="P6:P7"/>
    <mergeCell ref="O6:O7"/>
    <mergeCell ref="Q4:Q5"/>
    <mergeCell ref="P4:P5"/>
    <mergeCell ref="O4:O5"/>
    <mergeCell ref="Q11:Q18"/>
    <mergeCell ref="P11:P18"/>
    <mergeCell ref="O11:O18"/>
    <mergeCell ref="Q8:Q10"/>
    <mergeCell ref="P8:P10"/>
    <mergeCell ref="O8:O10"/>
  </mergeCells>
  <conditionalFormatting sqref="C22">
    <cfRule type="cellIs" dxfId="60" priority="1" operator="lessThan">
      <formula>29</formula>
    </cfRule>
    <cfRule type="cellIs" dxfId="59" priority="2" operator="greaterThan">
      <formula>38</formula>
    </cfRule>
    <cfRule type="cellIs" dxfId="58" priority="3" operator="lessThan">
      <formula>38</formula>
    </cfRule>
    <cfRule type="cellIs" dxfId="57" priority="4" operator="lessThan">
      <formula>38</formula>
    </cfRule>
    <cfRule type="cellIs" dxfId="56" priority="5" operator="greaterThan">
      <formula>40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Q43"/>
  <sheetViews>
    <sheetView topLeftCell="A16" zoomScaleNormal="100" workbookViewId="0">
      <selection activeCell="R1" sqref="R1"/>
    </sheetView>
  </sheetViews>
  <sheetFormatPr baseColWidth="10" defaultRowHeight="15" x14ac:dyDescent="0.25"/>
  <cols>
    <col min="1" max="1" width="14.42578125" style="2" bestFit="1" customWidth="1"/>
    <col min="2" max="2" width="14.5703125" style="2" bestFit="1" customWidth="1"/>
    <col min="3" max="3" width="14.28515625" style="2" bestFit="1" customWidth="1"/>
    <col min="4" max="4" width="14.5703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18.570312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7" t="s">
        <v>351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44472</v>
      </c>
      <c r="B4" s="4">
        <v>2816271</v>
      </c>
      <c r="C4" s="4" t="s">
        <v>9</v>
      </c>
      <c r="D4" s="5">
        <v>0</v>
      </c>
      <c r="E4" s="4"/>
      <c r="F4" s="4" t="s">
        <v>126</v>
      </c>
      <c r="G4" s="4" t="s">
        <v>46</v>
      </c>
      <c r="H4" s="4" t="s">
        <v>97</v>
      </c>
      <c r="I4" s="4" t="s">
        <v>227</v>
      </c>
      <c r="J4" s="4" t="s">
        <v>228</v>
      </c>
      <c r="K4" s="4" t="s">
        <v>229</v>
      </c>
      <c r="L4" s="4">
        <v>671</v>
      </c>
      <c r="M4" s="4">
        <v>0</v>
      </c>
      <c r="N4" s="9" t="s">
        <v>10</v>
      </c>
      <c r="O4" s="24">
        <v>0</v>
      </c>
      <c r="P4" s="28">
        <v>0</v>
      </c>
      <c r="Q4" s="24">
        <v>0</v>
      </c>
    </row>
    <row r="5" spans="1:17" ht="25.5" customHeight="1" x14ac:dyDescent="0.25">
      <c r="A5" s="10">
        <v>44473</v>
      </c>
      <c r="B5" s="11">
        <v>3028632</v>
      </c>
      <c r="C5" s="11" t="s">
        <v>50</v>
      </c>
      <c r="D5" s="66">
        <v>138447.76999999999</v>
      </c>
      <c r="E5" s="11" t="s">
        <v>51</v>
      </c>
      <c r="F5" s="11" t="s">
        <v>46</v>
      </c>
      <c r="G5" s="11" t="s">
        <v>126</v>
      </c>
      <c r="H5" s="11" t="s">
        <v>97</v>
      </c>
      <c r="I5" s="11" t="s">
        <v>227</v>
      </c>
      <c r="J5" s="11" t="s">
        <v>228</v>
      </c>
      <c r="K5" s="11" t="s">
        <v>229</v>
      </c>
      <c r="L5" s="11">
        <v>671</v>
      </c>
      <c r="M5" s="11">
        <v>38500</v>
      </c>
      <c r="N5" s="60" t="s">
        <v>38</v>
      </c>
      <c r="O5" s="630">
        <v>42503.465389999998</v>
      </c>
      <c r="P5" s="636">
        <f>O5/D5*100</f>
        <v>30.7</v>
      </c>
      <c r="Q5" s="630">
        <f>D5/(L5+L6)</f>
        <v>103.16525335320416</v>
      </c>
    </row>
    <row r="6" spans="1:17" ht="25.5" customHeight="1" x14ac:dyDescent="0.25">
      <c r="A6" s="10">
        <v>44474</v>
      </c>
      <c r="B6" s="11">
        <v>2816397</v>
      </c>
      <c r="C6" s="11" t="s">
        <v>9</v>
      </c>
      <c r="D6" s="66">
        <v>0</v>
      </c>
      <c r="E6" s="11"/>
      <c r="F6" s="11" t="s">
        <v>126</v>
      </c>
      <c r="G6" s="11" t="s">
        <v>46</v>
      </c>
      <c r="H6" s="11" t="s">
        <v>97</v>
      </c>
      <c r="I6" s="11" t="s">
        <v>227</v>
      </c>
      <c r="J6" s="11" t="s">
        <v>228</v>
      </c>
      <c r="K6" s="11" t="s">
        <v>229</v>
      </c>
      <c r="L6" s="11">
        <v>671</v>
      </c>
      <c r="M6" s="11">
        <v>0</v>
      </c>
      <c r="N6" s="60" t="s">
        <v>10</v>
      </c>
      <c r="O6" s="630"/>
      <c r="P6" s="636"/>
      <c r="Q6" s="630"/>
    </row>
    <row r="7" spans="1:17" ht="25.5" customHeight="1" x14ac:dyDescent="0.25">
      <c r="A7" s="16">
        <v>44475</v>
      </c>
      <c r="B7" s="17">
        <v>3030512</v>
      </c>
      <c r="C7" s="17" t="s">
        <v>50</v>
      </c>
      <c r="D7" s="70">
        <v>138014.9</v>
      </c>
      <c r="E7" s="17" t="s">
        <v>51</v>
      </c>
      <c r="F7" s="17" t="s">
        <v>46</v>
      </c>
      <c r="G7" s="17" t="s">
        <v>126</v>
      </c>
      <c r="H7" s="17" t="s">
        <v>97</v>
      </c>
      <c r="I7" s="17" t="s">
        <v>227</v>
      </c>
      <c r="J7" s="17" t="s">
        <v>228</v>
      </c>
      <c r="K7" s="17" t="s">
        <v>229</v>
      </c>
      <c r="L7" s="17">
        <v>671</v>
      </c>
      <c r="M7" s="17">
        <v>38260</v>
      </c>
      <c r="N7" s="61" t="s">
        <v>38</v>
      </c>
      <c r="O7" s="628">
        <v>42370.5743</v>
      </c>
      <c r="P7" s="643">
        <f>O7/D7*100</f>
        <v>30.7</v>
      </c>
      <c r="Q7" s="628">
        <f>D7/(L7+L8)</f>
        <v>102.84269746646795</v>
      </c>
    </row>
    <row r="8" spans="1:17" ht="25.5" customHeight="1" x14ac:dyDescent="0.25">
      <c r="A8" s="16">
        <v>44477</v>
      </c>
      <c r="B8" s="17">
        <v>2816396</v>
      </c>
      <c r="C8" s="17" t="s">
        <v>9</v>
      </c>
      <c r="D8" s="70">
        <v>0</v>
      </c>
      <c r="E8" s="17"/>
      <c r="F8" s="17" t="s">
        <v>126</v>
      </c>
      <c r="G8" s="17" t="s">
        <v>46</v>
      </c>
      <c r="H8" s="17" t="s">
        <v>97</v>
      </c>
      <c r="I8" s="17" t="s">
        <v>227</v>
      </c>
      <c r="J8" s="17" t="s">
        <v>228</v>
      </c>
      <c r="K8" s="17" t="s">
        <v>229</v>
      </c>
      <c r="L8" s="17">
        <v>671</v>
      </c>
      <c r="M8" s="17">
        <v>0</v>
      </c>
      <c r="N8" s="61" t="s">
        <v>10</v>
      </c>
      <c r="O8" s="628"/>
      <c r="P8" s="643"/>
      <c r="Q8" s="628"/>
    </row>
    <row r="9" spans="1:17" ht="25.5" customHeight="1" x14ac:dyDescent="0.25">
      <c r="A9" s="12">
        <v>44480</v>
      </c>
      <c r="B9" s="13">
        <v>3032025</v>
      </c>
      <c r="C9" s="13" t="s">
        <v>50</v>
      </c>
      <c r="D9" s="68">
        <v>98490.1</v>
      </c>
      <c r="E9" s="13" t="s">
        <v>68</v>
      </c>
      <c r="F9" s="13" t="s">
        <v>46</v>
      </c>
      <c r="G9" s="13" t="s">
        <v>52</v>
      </c>
      <c r="H9" s="13" t="s">
        <v>97</v>
      </c>
      <c r="I9" s="13" t="s">
        <v>227</v>
      </c>
      <c r="J9" s="13" t="s">
        <v>228</v>
      </c>
      <c r="K9" s="13" t="s">
        <v>229</v>
      </c>
      <c r="L9" s="13">
        <v>450</v>
      </c>
      <c r="M9" s="13">
        <v>38440</v>
      </c>
      <c r="N9" s="62" t="s">
        <v>38</v>
      </c>
      <c r="O9" s="634">
        <v>30236.4607</v>
      </c>
      <c r="P9" s="639">
        <f>O9/D9*100</f>
        <v>30.7</v>
      </c>
      <c r="Q9" s="634">
        <f>D9/(L9+L10)</f>
        <v>109.43344444444445</v>
      </c>
    </row>
    <row r="10" spans="1:17" ht="25.5" customHeight="1" x14ac:dyDescent="0.25">
      <c r="A10" s="12">
        <v>44481</v>
      </c>
      <c r="B10" s="13">
        <v>2816409</v>
      </c>
      <c r="C10" s="13" t="s">
        <v>9</v>
      </c>
      <c r="D10" s="68">
        <v>0</v>
      </c>
      <c r="E10" s="13"/>
      <c r="F10" s="13" t="s">
        <v>52</v>
      </c>
      <c r="G10" s="13" t="s">
        <v>46</v>
      </c>
      <c r="H10" s="13" t="s">
        <v>97</v>
      </c>
      <c r="I10" s="13" t="s">
        <v>227</v>
      </c>
      <c r="J10" s="13" t="s">
        <v>228</v>
      </c>
      <c r="K10" s="13" t="s">
        <v>229</v>
      </c>
      <c r="L10" s="13">
        <v>450</v>
      </c>
      <c r="M10" s="13">
        <v>0</v>
      </c>
      <c r="N10" s="62" t="s">
        <v>10</v>
      </c>
      <c r="O10" s="634"/>
      <c r="P10" s="639"/>
      <c r="Q10" s="634"/>
    </row>
    <row r="11" spans="1:17" ht="25.5" customHeight="1" x14ac:dyDescent="0.25">
      <c r="A11" s="14">
        <v>44482</v>
      </c>
      <c r="B11" s="15">
        <v>3032674</v>
      </c>
      <c r="C11" s="15" t="s">
        <v>50</v>
      </c>
      <c r="D11" s="67">
        <v>114219.17</v>
      </c>
      <c r="E11" s="15" t="s">
        <v>68</v>
      </c>
      <c r="F11" s="15" t="s">
        <v>46</v>
      </c>
      <c r="G11" s="15" t="s">
        <v>148</v>
      </c>
      <c r="H11" s="15" t="s">
        <v>97</v>
      </c>
      <c r="I11" s="15" t="s">
        <v>227</v>
      </c>
      <c r="J11" s="15" t="s">
        <v>228</v>
      </c>
      <c r="K11" s="15" t="s">
        <v>229</v>
      </c>
      <c r="L11" s="15">
        <v>560</v>
      </c>
      <c r="M11" s="15">
        <v>38400</v>
      </c>
      <c r="N11" s="63" t="s">
        <v>38</v>
      </c>
      <c r="O11" s="632">
        <v>35065.285190000002</v>
      </c>
      <c r="P11" s="646">
        <f>O11/D11*100</f>
        <v>30.700000000000006</v>
      </c>
      <c r="Q11" s="632">
        <f>D11/(L11+L12)</f>
        <v>101.98140178571428</v>
      </c>
    </row>
    <row r="12" spans="1:17" ht="25.5" customHeight="1" x14ac:dyDescent="0.25">
      <c r="A12" s="14">
        <v>44483</v>
      </c>
      <c r="B12" s="15">
        <v>2816502</v>
      </c>
      <c r="C12" s="15" t="s">
        <v>9</v>
      </c>
      <c r="D12" s="67">
        <v>0</v>
      </c>
      <c r="E12" s="15"/>
      <c r="F12" s="15" t="s">
        <v>148</v>
      </c>
      <c r="G12" s="15" t="s">
        <v>46</v>
      </c>
      <c r="H12" s="15" t="s">
        <v>97</v>
      </c>
      <c r="I12" s="15" t="s">
        <v>227</v>
      </c>
      <c r="J12" s="15" t="s">
        <v>228</v>
      </c>
      <c r="K12" s="15" t="s">
        <v>229</v>
      </c>
      <c r="L12" s="15">
        <v>560</v>
      </c>
      <c r="M12" s="15">
        <v>0</v>
      </c>
      <c r="N12" s="63" t="s">
        <v>10</v>
      </c>
      <c r="O12" s="632"/>
      <c r="P12" s="646"/>
      <c r="Q12" s="632"/>
    </row>
    <row r="13" spans="1:17" ht="25.5" customHeight="1" x14ac:dyDescent="0.25">
      <c r="A13" s="10">
        <v>44483</v>
      </c>
      <c r="B13" s="11">
        <v>3033826</v>
      </c>
      <c r="C13" s="11" t="s">
        <v>50</v>
      </c>
      <c r="D13" s="66">
        <v>26505.07</v>
      </c>
      <c r="E13" s="11" t="s">
        <v>68</v>
      </c>
      <c r="F13" s="11" t="s">
        <v>46</v>
      </c>
      <c r="G13" s="11" t="s">
        <v>81</v>
      </c>
      <c r="H13" s="11" t="s">
        <v>97</v>
      </c>
      <c r="I13" s="11" t="s">
        <v>227</v>
      </c>
      <c r="J13" s="11" t="s">
        <v>228</v>
      </c>
      <c r="K13" s="11" t="s">
        <v>229</v>
      </c>
      <c r="L13" s="11">
        <v>120</v>
      </c>
      <c r="M13" s="11">
        <v>38340</v>
      </c>
      <c r="N13" s="60" t="s">
        <v>38</v>
      </c>
      <c r="O13" s="630">
        <v>8137.0564899999999</v>
      </c>
      <c r="P13" s="636">
        <f>O13/D13*100</f>
        <v>30.7</v>
      </c>
      <c r="Q13" s="630">
        <f>D13/(L13+L14)</f>
        <v>110.43779166666667</v>
      </c>
    </row>
    <row r="14" spans="1:17" ht="25.5" customHeight="1" x14ac:dyDescent="0.25">
      <c r="A14" s="10">
        <v>44486</v>
      </c>
      <c r="B14" s="11">
        <v>2816551</v>
      </c>
      <c r="C14" s="11" t="s">
        <v>9</v>
      </c>
      <c r="D14" s="66">
        <v>0</v>
      </c>
      <c r="E14" s="11"/>
      <c r="F14" s="11" t="s">
        <v>81</v>
      </c>
      <c r="G14" s="11" t="s">
        <v>46</v>
      </c>
      <c r="H14" s="11" t="s">
        <v>97</v>
      </c>
      <c r="I14" s="11" t="s">
        <v>227</v>
      </c>
      <c r="J14" s="11" t="s">
        <v>228</v>
      </c>
      <c r="K14" s="11" t="s">
        <v>229</v>
      </c>
      <c r="L14" s="11">
        <v>120</v>
      </c>
      <c r="M14" s="11">
        <v>0</v>
      </c>
      <c r="N14" s="60" t="s">
        <v>10</v>
      </c>
      <c r="O14" s="630"/>
      <c r="P14" s="636"/>
      <c r="Q14" s="630"/>
    </row>
    <row r="15" spans="1:17" ht="25.5" customHeight="1" x14ac:dyDescent="0.25">
      <c r="A15" s="16">
        <v>44487</v>
      </c>
      <c r="B15" s="17">
        <v>3035112</v>
      </c>
      <c r="C15" s="17" t="s">
        <v>50</v>
      </c>
      <c r="D15" s="70">
        <v>138880.65</v>
      </c>
      <c r="E15" s="17" t="s">
        <v>68</v>
      </c>
      <c r="F15" s="17" t="s">
        <v>46</v>
      </c>
      <c r="G15" s="17" t="s">
        <v>126</v>
      </c>
      <c r="H15" s="17" t="s">
        <v>97</v>
      </c>
      <c r="I15" s="17" t="s">
        <v>227</v>
      </c>
      <c r="J15" s="17" t="s">
        <v>228</v>
      </c>
      <c r="K15" s="17" t="s">
        <v>229</v>
      </c>
      <c r="L15" s="17">
        <v>671</v>
      </c>
      <c r="M15" s="17">
        <v>38500</v>
      </c>
      <c r="N15" s="61" t="s">
        <v>38</v>
      </c>
      <c r="O15" s="628">
        <v>42636.359550000001</v>
      </c>
      <c r="P15" s="643">
        <f>O15/D15*100</f>
        <v>30.7</v>
      </c>
      <c r="Q15" s="628">
        <f>D15/(L15+L16)</f>
        <v>103.48781669150522</v>
      </c>
    </row>
    <row r="16" spans="1:17" ht="25.5" customHeight="1" x14ac:dyDescent="0.25">
      <c r="A16" s="16">
        <v>44488</v>
      </c>
      <c r="B16" s="17">
        <v>2816550</v>
      </c>
      <c r="C16" s="17" t="s">
        <v>9</v>
      </c>
      <c r="D16" s="70">
        <v>0</v>
      </c>
      <c r="E16" s="17"/>
      <c r="F16" s="17" t="s">
        <v>126</v>
      </c>
      <c r="G16" s="17" t="s">
        <v>46</v>
      </c>
      <c r="H16" s="17" t="s">
        <v>97</v>
      </c>
      <c r="I16" s="17" t="s">
        <v>227</v>
      </c>
      <c r="J16" s="17" t="s">
        <v>228</v>
      </c>
      <c r="K16" s="17" t="s">
        <v>229</v>
      </c>
      <c r="L16" s="17">
        <v>671</v>
      </c>
      <c r="M16" s="17">
        <v>0</v>
      </c>
      <c r="N16" s="61" t="s">
        <v>10</v>
      </c>
      <c r="O16" s="628"/>
      <c r="P16" s="643"/>
      <c r="Q16" s="628"/>
    </row>
    <row r="17" spans="1:17" ht="25.5" customHeight="1" x14ac:dyDescent="0.25">
      <c r="A17" s="12">
        <v>44489</v>
      </c>
      <c r="B17" s="13">
        <v>3036816</v>
      </c>
      <c r="C17" s="13" t="s">
        <v>50</v>
      </c>
      <c r="D17" s="68">
        <v>139097.09</v>
      </c>
      <c r="E17" s="13" t="s">
        <v>68</v>
      </c>
      <c r="F17" s="13" t="s">
        <v>46</v>
      </c>
      <c r="G17" s="13" t="s">
        <v>126</v>
      </c>
      <c r="H17" s="13" t="s">
        <v>97</v>
      </c>
      <c r="I17" s="13" t="s">
        <v>227</v>
      </c>
      <c r="J17" s="13" t="s">
        <v>228</v>
      </c>
      <c r="K17" s="13" t="s">
        <v>229</v>
      </c>
      <c r="L17" s="13">
        <v>671</v>
      </c>
      <c r="M17" s="13">
        <v>38560</v>
      </c>
      <c r="N17" s="62" t="s">
        <v>38</v>
      </c>
      <c r="O17" s="634">
        <v>42702.806629999999</v>
      </c>
      <c r="P17" s="639">
        <f>O17/D17*100</f>
        <v>30.7</v>
      </c>
      <c r="Q17" s="634">
        <f>D17/(L17+L18)</f>
        <v>103.64909836065574</v>
      </c>
    </row>
    <row r="18" spans="1:17" ht="25.5" customHeight="1" x14ac:dyDescent="0.25">
      <c r="A18" s="12">
        <v>44491</v>
      </c>
      <c r="B18" s="13">
        <v>2816597</v>
      </c>
      <c r="C18" s="13" t="s">
        <v>9</v>
      </c>
      <c r="D18" s="68">
        <v>0</v>
      </c>
      <c r="E18" s="13"/>
      <c r="F18" s="13" t="s">
        <v>126</v>
      </c>
      <c r="G18" s="13" t="s">
        <v>46</v>
      </c>
      <c r="H18" s="13" t="s">
        <v>97</v>
      </c>
      <c r="I18" s="13" t="s">
        <v>227</v>
      </c>
      <c r="J18" s="13" t="s">
        <v>228</v>
      </c>
      <c r="K18" s="13" t="s">
        <v>229</v>
      </c>
      <c r="L18" s="13">
        <v>671</v>
      </c>
      <c r="M18" s="13">
        <v>0</v>
      </c>
      <c r="N18" s="62" t="s">
        <v>10</v>
      </c>
      <c r="O18" s="634"/>
      <c r="P18" s="639"/>
      <c r="Q18" s="634"/>
    </row>
    <row r="19" spans="1:17" ht="25.5" customHeight="1" x14ac:dyDescent="0.25">
      <c r="A19" s="14">
        <v>44492</v>
      </c>
      <c r="B19" s="15">
        <v>3038430</v>
      </c>
      <c r="C19" s="15" t="s">
        <v>50</v>
      </c>
      <c r="D19" s="67">
        <v>138447.62</v>
      </c>
      <c r="E19" s="15" t="s">
        <v>68</v>
      </c>
      <c r="F19" s="15" t="s">
        <v>46</v>
      </c>
      <c r="G19" s="15" t="s">
        <v>126</v>
      </c>
      <c r="H19" s="15" t="s">
        <v>97</v>
      </c>
      <c r="I19" s="15" t="s">
        <v>227</v>
      </c>
      <c r="J19" s="15" t="s">
        <v>228</v>
      </c>
      <c r="K19" s="15" t="s">
        <v>229</v>
      </c>
      <c r="L19" s="15">
        <v>671</v>
      </c>
      <c r="M19" s="15">
        <v>38380</v>
      </c>
      <c r="N19" s="63" t="s">
        <v>38</v>
      </c>
      <c r="O19" s="632">
        <v>42503.41934</v>
      </c>
      <c r="P19" s="646">
        <f>O19/D19*100</f>
        <v>30.7</v>
      </c>
      <c r="Q19" s="632">
        <f>D19/(L19+L20)</f>
        <v>103.16514157973174</v>
      </c>
    </row>
    <row r="20" spans="1:17" ht="25.5" customHeight="1" x14ac:dyDescent="0.25">
      <c r="A20" s="14">
        <v>44494</v>
      </c>
      <c r="B20" s="15">
        <v>2816598</v>
      </c>
      <c r="C20" s="15" t="s">
        <v>9</v>
      </c>
      <c r="D20" s="67">
        <v>0</v>
      </c>
      <c r="E20" s="15"/>
      <c r="F20" s="15" t="s">
        <v>126</v>
      </c>
      <c r="G20" s="15" t="s">
        <v>46</v>
      </c>
      <c r="H20" s="15" t="s">
        <v>97</v>
      </c>
      <c r="I20" s="15" t="s">
        <v>227</v>
      </c>
      <c r="J20" s="15" t="s">
        <v>228</v>
      </c>
      <c r="K20" s="15" t="s">
        <v>229</v>
      </c>
      <c r="L20" s="15">
        <v>671</v>
      </c>
      <c r="M20" s="15">
        <v>0</v>
      </c>
      <c r="N20" s="63" t="s">
        <v>10</v>
      </c>
      <c r="O20" s="632"/>
      <c r="P20" s="646"/>
      <c r="Q20" s="632"/>
    </row>
    <row r="21" spans="1:17" ht="25.5" customHeight="1" x14ac:dyDescent="0.25">
      <c r="A21" s="10">
        <v>44495</v>
      </c>
      <c r="B21" s="11">
        <v>3039916</v>
      </c>
      <c r="C21" s="11" t="s">
        <v>50</v>
      </c>
      <c r="D21" s="66">
        <v>138736.21</v>
      </c>
      <c r="E21" s="11" t="s">
        <v>68</v>
      </c>
      <c r="F21" s="11" t="s">
        <v>46</v>
      </c>
      <c r="G21" s="11" t="s">
        <v>126</v>
      </c>
      <c r="H21" s="11" t="s">
        <v>97</v>
      </c>
      <c r="I21" s="11" t="s">
        <v>227</v>
      </c>
      <c r="J21" s="11" t="s">
        <v>228</v>
      </c>
      <c r="K21" s="11" t="s">
        <v>229</v>
      </c>
      <c r="L21" s="11">
        <v>671</v>
      </c>
      <c r="M21" s="11">
        <v>38460</v>
      </c>
      <c r="N21" s="60" t="s">
        <v>38</v>
      </c>
      <c r="O21" s="630">
        <v>42592.016470000002</v>
      </c>
      <c r="P21" s="636">
        <f>O21/D21*100</f>
        <v>30.700000000000006</v>
      </c>
      <c r="Q21" s="630">
        <f>D21/(L21+L22)</f>
        <v>103.38018628912072</v>
      </c>
    </row>
    <row r="22" spans="1:17" ht="25.5" customHeight="1" x14ac:dyDescent="0.25">
      <c r="A22" s="10">
        <v>44496</v>
      </c>
      <c r="B22" s="11">
        <v>2816626</v>
      </c>
      <c r="C22" s="11" t="s">
        <v>9</v>
      </c>
      <c r="D22" s="66">
        <v>0</v>
      </c>
      <c r="E22" s="11"/>
      <c r="F22" s="11" t="s">
        <v>126</v>
      </c>
      <c r="G22" s="11" t="s">
        <v>46</v>
      </c>
      <c r="H22" s="11" t="s">
        <v>97</v>
      </c>
      <c r="I22" s="11" t="s">
        <v>227</v>
      </c>
      <c r="J22" s="11" t="s">
        <v>228</v>
      </c>
      <c r="K22" s="11" t="s">
        <v>229</v>
      </c>
      <c r="L22" s="11">
        <v>671</v>
      </c>
      <c r="M22" s="11">
        <v>0</v>
      </c>
      <c r="N22" s="60" t="s">
        <v>10</v>
      </c>
      <c r="O22" s="630"/>
      <c r="P22" s="636"/>
      <c r="Q22" s="630"/>
    </row>
    <row r="23" spans="1:17" ht="25.5" customHeight="1" x14ac:dyDescent="0.25">
      <c r="A23" s="16">
        <v>44497</v>
      </c>
      <c r="B23" s="17">
        <v>3041307</v>
      </c>
      <c r="C23" s="17" t="s">
        <v>50</v>
      </c>
      <c r="D23" s="70">
        <v>137365.46</v>
      </c>
      <c r="E23" s="17" t="s">
        <v>68</v>
      </c>
      <c r="F23" s="17" t="s">
        <v>46</v>
      </c>
      <c r="G23" s="17" t="s">
        <v>126</v>
      </c>
      <c r="H23" s="17" t="s">
        <v>97</v>
      </c>
      <c r="I23" s="17" t="s">
        <v>227</v>
      </c>
      <c r="J23" s="17" t="s">
        <v>228</v>
      </c>
      <c r="K23" s="17" t="s">
        <v>229</v>
      </c>
      <c r="L23" s="17">
        <v>671</v>
      </c>
      <c r="M23" s="17">
        <v>38080</v>
      </c>
      <c r="N23" s="61" t="s">
        <v>38</v>
      </c>
      <c r="O23" s="628">
        <v>42171.196219999998</v>
      </c>
      <c r="P23" s="643">
        <f>O23/D23*100</f>
        <v>30.7</v>
      </c>
      <c r="Q23" s="628">
        <f>D23/(L23+L24)</f>
        <v>102.35876304023844</v>
      </c>
    </row>
    <row r="24" spans="1:17" ht="25.5" customHeight="1" x14ac:dyDescent="0.25">
      <c r="A24" s="84">
        <v>44498</v>
      </c>
      <c r="B24" s="61">
        <v>2816632</v>
      </c>
      <c r="C24" s="61" t="s">
        <v>9</v>
      </c>
      <c r="D24" s="69">
        <v>0</v>
      </c>
      <c r="E24" s="61"/>
      <c r="F24" s="61" t="s">
        <v>126</v>
      </c>
      <c r="G24" s="61" t="s">
        <v>46</v>
      </c>
      <c r="H24" s="61" t="s">
        <v>97</v>
      </c>
      <c r="I24" s="61" t="s">
        <v>227</v>
      </c>
      <c r="J24" s="61" t="s">
        <v>228</v>
      </c>
      <c r="K24" s="61" t="s">
        <v>229</v>
      </c>
      <c r="L24" s="61">
        <v>671</v>
      </c>
      <c r="M24" s="61">
        <v>0</v>
      </c>
      <c r="N24" s="61" t="s">
        <v>10</v>
      </c>
      <c r="O24" s="628"/>
      <c r="P24" s="643"/>
      <c r="Q24" s="628"/>
    </row>
    <row r="25" spans="1:17" ht="25.5" customHeight="1" x14ac:dyDescent="0.25">
      <c r="A25" s="3">
        <v>44498</v>
      </c>
      <c r="B25" s="4">
        <v>3042028</v>
      </c>
      <c r="C25" s="4" t="s">
        <v>50</v>
      </c>
      <c r="D25" s="5">
        <v>26560.22</v>
      </c>
      <c r="E25" s="4" t="s">
        <v>68</v>
      </c>
      <c r="F25" s="4" t="s">
        <v>46</v>
      </c>
      <c r="G25" s="4" t="s">
        <v>81</v>
      </c>
      <c r="H25" s="4" t="s">
        <v>97</v>
      </c>
      <c r="I25" s="4" t="s">
        <v>227</v>
      </c>
      <c r="J25" s="4" t="s">
        <v>228</v>
      </c>
      <c r="K25" s="4" t="s">
        <v>229</v>
      </c>
      <c r="L25" s="4">
        <v>120</v>
      </c>
      <c r="M25" s="4">
        <v>28420</v>
      </c>
      <c r="N25" s="9" t="s">
        <v>38</v>
      </c>
      <c r="O25" s="24">
        <v>8153.9875400000001</v>
      </c>
      <c r="P25" s="28">
        <f>O25/D25*100</f>
        <v>30.7</v>
      </c>
      <c r="Q25" s="24">
        <f>D25/L25</f>
        <v>221.33516666666668</v>
      </c>
    </row>
    <row r="26" spans="1:17" x14ac:dyDescent="0.25">
      <c r="A26" s="9"/>
      <c r="B26" s="9"/>
      <c r="C26" s="9"/>
      <c r="D26" s="18">
        <f>SUM(D4:D25)</f>
        <v>1234764.26</v>
      </c>
      <c r="E26" s="9"/>
      <c r="F26" s="9"/>
      <c r="G26" s="9"/>
      <c r="H26" s="9"/>
      <c r="I26" s="9"/>
      <c r="J26" s="9"/>
      <c r="K26" s="9"/>
      <c r="L26" s="9">
        <f>SUM(L4:L25)</f>
        <v>12445</v>
      </c>
      <c r="M26" s="9"/>
      <c r="N26" s="9"/>
      <c r="O26" s="24">
        <f>SUM(O4:O25)</f>
        <v>379072.62781999999</v>
      </c>
      <c r="P26" s="28">
        <f>O26/D26*100</f>
        <v>30.7</v>
      </c>
      <c r="Q26" s="26">
        <f>D26/L26</f>
        <v>99.217698674166328</v>
      </c>
    </row>
    <row r="28" spans="1:17" ht="15" customHeight="1" x14ac:dyDescent="0.25">
      <c r="A28" s="36" t="s">
        <v>322</v>
      </c>
      <c r="B28" s="36" t="s">
        <v>323</v>
      </c>
      <c r="C28" s="36" t="s">
        <v>324</v>
      </c>
      <c r="D28" s="36" t="s">
        <v>325</v>
      </c>
      <c r="F28" s="37" t="s">
        <v>326</v>
      </c>
      <c r="G28" s="37" t="s">
        <v>327</v>
      </c>
      <c r="H28" s="37" t="s">
        <v>328</v>
      </c>
      <c r="I28" s="38"/>
    </row>
    <row r="29" spans="1:17" x14ac:dyDescent="0.25">
      <c r="A29" s="39">
        <f>D26/L26</f>
        <v>99.217698674166328</v>
      </c>
      <c r="B29" s="40">
        <f>COMBUSTIBLE!C129</f>
        <v>4202</v>
      </c>
      <c r="C29" s="41">
        <f>B29/L26*100</f>
        <v>33.764564081960621</v>
      </c>
      <c r="D29" s="42">
        <f>B35/B29</f>
        <v>68.188361408852927</v>
      </c>
      <c r="F29" s="43">
        <f>+B35/D26</f>
        <v>0.23205036290894909</v>
      </c>
      <c r="G29" s="43">
        <f>B40/D26</f>
        <v>0.30678991865993005</v>
      </c>
      <c r="H29" s="44"/>
      <c r="I29" s="38"/>
    </row>
    <row r="30" spans="1:17" x14ac:dyDescent="0.25">
      <c r="F30" s="38"/>
      <c r="G30" s="38"/>
      <c r="H30" s="38"/>
      <c r="I30" s="38"/>
    </row>
    <row r="31" spans="1:17" x14ac:dyDescent="0.25">
      <c r="A31" s="36"/>
      <c r="B31" s="36" t="s">
        <v>329</v>
      </c>
      <c r="C31" s="36" t="s">
        <v>330</v>
      </c>
      <c r="D31" s="36" t="s">
        <v>229</v>
      </c>
      <c r="K31" s="25"/>
      <c r="L31" s="29"/>
      <c r="M31" s="25"/>
      <c r="O31" s="2"/>
      <c r="P31" s="2"/>
      <c r="Q31" s="2"/>
    </row>
    <row r="32" spans="1:17" x14ac:dyDescent="0.25">
      <c r="A32" s="7" t="s">
        <v>331</v>
      </c>
      <c r="B32" s="24">
        <f>D26</f>
        <v>1234764.26</v>
      </c>
      <c r="C32" s="45">
        <f>B33</f>
        <v>379072.62781999999</v>
      </c>
      <c r="D32" s="46">
        <f>C32/B32</f>
        <v>0.307</v>
      </c>
      <c r="K32" s="25"/>
      <c r="L32" s="29"/>
      <c r="M32" s="25"/>
      <c r="O32" s="2"/>
      <c r="P32" s="2"/>
      <c r="Q32" s="2"/>
    </row>
    <row r="33" spans="1:4" x14ac:dyDescent="0.25">
      <c r="A33" s="47" t="s">
        <v>27</v>
      </c>
      <c r="B33" s="24">
        <f>O26</f>
        <v>379072.62781999999</v>
      </c>
      <c r="C33" s="9"/>
    </row>
    <row r="34" spans="1:4" x14ac:dyDescent="0.25">
      <c r="A34" s="48" t="s">
        <v>332</v>
      </c>
      <c r="B34" s="49">
        <f>(10*(78578.313+12454.55))/(150000+80000)*L26</f>
        <v>49256.694784130435</v>
      </c>
      <c r="C34" s="49">
        <f>(12*(78578.313+12454.55))/(150000+80000)*L26</f>
        <v>59108.033740956518</v>
      </c>
    </row>
    <row r="35" spans="1:4" x14ac:dyDescent="0.25">
      <c r="A35" s="48" t="s">
        <v>333</v>
      </c>
      <c r="B35" s="24">
        <f>COMBUSTIBLE!J129</f>
        <v>286527.49463999999</v>
      </c>
      <c r="C35" s="9"/>
    </row>
    <row r="36" spans="1:4" x14ac:dyDescent="0.25">
      <c r="A36" s="48" t="s">
        <v>334</v>
      </c>
      <c r="B36" s="24"/>
      <c r="C36" s="9"/>
    </row>
    <row r="37" spans="1:4" x14ac:dyDescent="0.25">
      <c r="A37" s="48" t="s">
        <v>335</v>
      </c>
      <c r="B37" s="24">
        <f>'PATENTE PROVINCIAL'!N44</f>
        <v>1764.9</v>
      </c>
      <c r="C37" s="42">
        <f>'PATENTE PROVINCIAL'!N21</f>
        <v>2061.8000000000002</v>
      </c>
    </row>
    <row r="38" spans="1:4" x14ac:dyDescent="0.25">
      <c r="A38" s="48" t="s">
        <v>336</v>
      </c>
      <c r="B38" s="24">
        <f>'PATENTE MUNICIPAL'!I51</f>
        <v>20.833333333333332</v>
      </c>
      <c r="C38" s="42"/>
    </row>
    <row r="39" spans="1:4" x14ac:dyDescent="0.25">
      <c r="A39" s="48" t="s">
        <v>337</v>
      </c>
      <c r="B39" s="24">
        <f>SEGURO!K55</f>
        <v>1236.5432093611639</v>
      </c>
      <c r="C39" s="42">
        <f>SEGURO!K21</f>
        <v>210.03783301707779</v>
      </c>
    </row>
    <row r="40" spans="1:4" x14ac:dyDescent="0.25">
      <c r="A40" s="48" t="s">
        <v>338</v>
      </c>
      <c r="B40" s="24">
        <f>L26*SUELDOS!Z5</f>
        <v>378813.2268895887</v>
      </c>
      <c r="C40" s="42"/>
      <c r="D40" s="50">
        <f>B40/L26</f>
        <v>30.438989705872938</v>
      </c>
    </row>
    <row r="41" spans="1:4" x14ac:dyDescent="0.25">
      <c r="A41" s="48" t="s">
        <v>339</v>
      </c>
      <c r="B41" s="24">
        <f>'GASTOS TRACTOR'!H256</f>
        <v>55852.159999999996</v>
      </c>
      <c r="C41" s="42">
        <f>'GASTOS SEMI'!H35</f>
        <v>3927.67</v>
      </c>
    </row>
    <row r="42" spans="1:4" x14ac:dyDescent="0.25">
      <c r="A42" s="48" t="s">
        <v>340</v>
      </c>
      <c r="B42" s="24">
        <f>SUM(B34:B41)</f>
        <v>773471.85285641358</v>
      </c>
      <c r="C42" s="51">
        <f>SUM(C34:C41)</f>
        <v>65307.541573973598</v>
      </c>
    </row>
    <row r="43" spans="1:4" x14ac:dyDescent="0.25">
      <c r="A43" s="36" t="s">
        <v>341</v>
      </c>
      <c r="B43" s="52">
        <f>B32-B33-B42</f>
        <v>82219.779323586379</v>
      </c>
      <c r="C43" s="53">
        <f>C32-C33-C42</f>
        <v>313765.08624602639</v>
      </c>
      <c r="D43" s="52">
        <f>+B43+C43</f>
        <v>395984.86556961277</v>
      </c>
    </row>
  </sheetData>
  <sortState xmlns:xlrd2="http://schemas.microsoft.com/office/spreadsheetml/2017/richdata2" ref="A2:P24">
    <sortCondition ref="A1"/>
  </sortState>
  <mergeCells count="31">
    <mergeCell ref="Q23:Q24"/>
    <mergeCell ref="P23:P24"/>
    <mergeCell ref="O23:O24"/>
    <mergeCell ref="Q21:Q22"/>
    <mergeCell ref="P21:P22"/>
    <mergeCell ref="O21:O22"/>
    <mergeCell ref="Q19:Q20"/>
    <mergeCell ref="P19:P20"/>
    <mergeCell ref="O19:O20"/>
    <mergeCell ref="Q17:Q18"/>
    <mergeCell ref="P17:P18"/>
    <mergeCell ref="O17:O18"/>
    <mergeCell ref="Q15:Q16"/>
    <mergeCell ref="P15:P16"/>
    <mergeCell ref="O15:O16"/>
    <mergeCell ref="Q13:Q14"/>
    <mergeCell ref="P13:P14"/>
    <mergeCell ref="O13:O14"/>
    <mergeCell ref="Q11:Q12"/>
    <mergeCell ref="P11:P12"/>
    <mergeCell ref="O11:O12"/>
    <mergeCell ref="Q9:Q10"/>
    <mergeCell ref="P9:P10"/>
    <mergeCell ref="O9:O10"/>
    <mergeCell ref="A1:Q2"/>
    <mergeCell ref="Q7:Q8"/>
    <mergeCell ref="P7:P8"/>
    <mergeCell ref="O7:O8"/>
    <mergeCell ref="Q5:Q6"/>
    <mergeCell ref="P5:P6"/>
    <mergeCell ref="O5:O6"/>
  </mergeCells>
  <conditionalFormatting sqref="C29">
    <cfRule type="cellIs" dxfId="55" priority="1" operator="lessThan">
      <formula>29</formula>
    </cfRule>
    <cfRule type="cellIs" dxfId="54" priority="2" operator="greaterThan">
      <formula>38</formula>
    </cfRule>
    <cfRule type="cellIs" dxfId="53" priority="3" operator="lessThan">
      <formula>38</formula>
    </cfRule>
    <cfRule type="cellIs" dxfId="52" priority="4" operator="lessThan">
      <formula>38</formula>
    </cfRule>
    <cfRule type="cellIs" dxfId="51" priority="5" operator="greaterThan">
      <formula>40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V37"/>
  <sheetViews>
    <sheetView zoomScaleNormal="100" workbookViewId="0">
      <selection activeCell="A45" sqref="A45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4.42578125" style="2" bestFit="1" customWidth="1"/>
    <col min="5" max="5" width="41" style="2" bestFit="1" customWidth="1"/>
    <col min="6" max="7" width="42.42578125" style="2" bestFit="1" customWidth="1"/>
    <col min="8" max="8" width="20.140625" style="2" bestFit="1" customWidth="1"/>
    <col min="9" max="9" width="23.8554687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22" x14ac:dyDescent="0.25">
      <c r="A1" s="627" t="s">
        <v>352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22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22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22" ht="25.5" customHeight="1" x14ac:dyDescent="0.25">
      <c r="A4" s="10">
        <v>44473</v>
      </c>
      <c r="B4" s="11">
        <v>2010642073</v>
      </c>
      <c r="C4" s="11" t="s">
        <v>0</v>
      </c>
      <c r="D4" s="66">
        <v>125108.71</v>
      </c>
      <c r="E4" s="11" t="s">
        <v>56</v>
      </c>
      <c r="F4" s="11" t="s">
        <v>2</v>
      </c>
      <c r="G4" s="11" t="s">
        <v>3</v>
      </c>
      <c r="H4" s="11" t="s">
        <v>97</v>
      </c>
      <c r="I4" s="11" t="s">
        <v>230</v>
      </c>
      <c r="J4" s="11" t="s">
        <v>231</v>
      </c>
      <c r="K4" s="11" t="s">
        <v>232</v>
      </c>
      <c r="L4" s="11">
        <v>740</v>
      </c>
      <c r="M4" s="11">
        <v>29300</v>
      </c>
      <c r="N4" s="11" t="s">
        <v>8</v>
      </c>
      <c r="O4" s="630">
        <v>38408.373970000001</v>
      </c>
      <c r="P4" s="636">
        <f>O4/D4*100</f>
        <v>30.7</v>
      </c>
      <c r="Q4" s="630">
        <f>D4/(L4+L5)</f>
        <v>84.532912162162162</v>
      </c>
      <c r="T4" s="395"/>
      <c r="U4" s="396"/>
      <c r="V4" s="397"/>
    </row>
    <row r="5" spans="1:22" ht="25.5" customHeight="1" x14ac:dyDescent="0.25">
      <c r="A5" s="10">
        <v>44474</v>
      </c>
      <c r="B5" s="11">
        <v>2816832</v>
      </c>
      <c r="C5" s="11" t="s">
        <v>9</v>
      </c>
      <c r="D5" s="66">
        <v>0</v>
      </c>
      <c r="E5" s="11"/>
      <c r="F5" s="11" t="s">
        <v>3</v>
      </c>
      <c r="G5" s="11" t="s">
        <v>2</v>
      </c>
      <c r="H5" s="11" t="s">
        <v>97</v>
      </c>
      <c r="I5" s="11" t="s">
        <v>230</v>
      </c>
      <c r="J5" s="11" t="s">
        <v>231</v>
      </c>
      <c r="K5" s="11" t="s">
        <v>232</v>
      </c>
      <c r="L5" s="11">
        <v>740</v>
      </c>
      <c r="M5" s="11">
        <v>0</v>
      </c>
      <c r="N5" s="11" t="s">
        <v>10</v>
      </c>
      <c r="O5" s="630"/>
      <c r="P5" s="636"/>
      <c r="Q5" s="630"/>
      <c r="T5" s="395"/>
      <c r="U5" s="396"/>
      <c r="V5" s="397"/>
    </row>
    <row r="6" spans="1:22" ht="25.5" customHeight="1" x14ac:dyDescent="0.25">
      <c r="A6" s="16">
        <v>44476</v>
      </c>
      <c r="B6" s="17">
        <v>2010642111</v>
      </c>
      <c r="C6" s="17" t="s">
        <v>0</v>
      </c>
      <c r="D6" s="70">
        <v>125108.71</v>
      </c>
      <c r="E6" s="17" t="s">
        <v>34</v>
      </c>
      <c r="F6" s="17" t="s">
        <v>2</v>
      </c>
      <c r="G6" s="17" t="s">
        <v>3</v>
      </c>
      <c r="H6" s="17" t="s">
        <v>97</v>
      </c>
      <c r="I6" s="17" t="s">
        <v>230</v>
      </c>
      <c r="J6" s="17" t="s">
        <v>231</v>
      </c>
      <c r="K6" s="17" t="s">
        <v>232</v>
      </c>
      <c r="L6" s="17">
        <v>740</v>
      </c>
      <c r="M6" s="17">
        <v>29330</v>
      </c>
      <c r="N6" s="17" t="s">
        <v>8</v>
      </c>
      <c r="O6" s="628">
        <v>38408.373970000001</v>
      </c>
      <c r="P6" s="643">
        <f>O6/D6*100</f>
        <v>30.7</v>
      </c>
      <c r="Q6" s="628">
        <f>D6/(L6+L7)</f>
        <v>84.532912162162162</v>
      </c>
      <c r="T6" s="395"/>
      <c r="U6" s="396"/>
      <c r="V6" s="397"/>
    </row>
    <row r="7" spans="1:22" ht="25.5" customHeight="1" x14ac:dyDescent="0.25">
      <c r="A7" s="16">
        <v>44477</v>
      </c>
      <c r="B7" s="17">
        <v>2816813</v>
      </c>
      <c r="C7" s="17" t="s">
        <v>9</v>
      </c>
      <c r="D7" s="70">
        <v>0</v>
      </c>
      <c r="E7" s="17"/>
      <c r="F7" s="17" t="s">
        <v>3</v>
      </c>
      <c r="G7" s="17" t="s">
        <v>2</v>
      </c>
      <c r="H7" s="17" t="s">
        <v>97</v>
      </c>
      <c r="I7" s="17" t="s">
        <v>230</v>
      </c>
      <c r="J7" s="17" t="s">
        <v>231</v>
      </c>
      <c r="K7" s="17" t="s">
        <v>232</v>
      </c>
      <c r="L7" s="17">
        <v>740</v>
      </c>
      <c r="M7" s="17">
        <v>0</v>
      </c>
      <c r="N7" s="17" t="s">
        <v>10</v>
      </c>
      <c r="O7" s="628"/>
      <c r="P7" s="643"/>
      <c r="Q7" s="628"/>
      <c r="T7" s="395"/>
      <c r="U7" s="396"/>
      <c r="V7" s="397"/>
    </row>
    <row r="8" spans="1:22" ht="25.5" customHeight="1" x14ac:dyDescent="0.25">
      <c r="A8" s="12">
        <v>44480</v>
      </c>
      <c r="B8" s="13">
        <v>2010654360</v>
      </c>
      <c r="C8" s="13" t="s">
        <v>0</v>
      </c>
      <c r="D8" s="68">
        <v>115411.9</v>
      </c>
      <c r="E8" s="13" t="s">
        <v>36</v>
      </c>
      <c r="F8" s="13" t="s">
        <v>2</v>
      </c>
      <c r="G8" s="13" t="s">
        <v>233</v>
      </c>
      <c r="H8" s="13" t="s">
        <v>97</v>
      </c>
      <c r="I8" s="13" t="s">
        <v>230</v>
      </c>
      <c r="J8" s="13" t="s">
        <v>231</v>
      </c>
      <c r="K8" s="13" t="s">
        <v>232</v>
      </c>
      <c r="L8" s="13">
        <v>668</v>
      </c>
      <c r="M8" s="13">
        <v>29100</v>
      </c>
      <c r="N8" s="13" t="s">
        <v>8</v>
      </c>
      <c r="O8" s="634">
        <v>35431.453300000001</v>
      </c>
      <c r="P8" s="639">
        <f>O8/D8*100</f>
        <v>30.700000000000006</v>
      </c>
      <c r="Q8" s="634">
        <f>D8/(L8+L9)</f>
        <v>86.386152694610772</v>
      </c>
      <c r="T8" s="395"/>
      <c r="U8" s="396"/>
      <c r="V8" s="397"/>
    </row>
    <row r="9" spans="1:22" ht="25.5" customHeight="1" x14ac:dyDescent="0.25">
      <c r="A9" s="12">
        <v>44481</v>
      </c>
      <c r="B9" s="13">
        <v>2816846</v>
      </c>
      <c r="C9" s="13" t="s">
        <v>9</v>
      </c>
      <c r="D9" s="68">
        <v>0</v>
      </c>
      <c r="E9" s="13"/>
      <c r="F9" s="13" t="s">
        <v>233</v>
      </c>
      <c r="G9" s="13" t="s">
        <v>2</v>
      </c>
      <c r="H9" s="13" t="s">
        <v>97</v>
      </c>
      <c r="I9" s="13" t="s">
        <v>230</v>
      </c>
      <c r="J9" s="13" t="s">
        <v>231</v>
      </c>
      <c r="K9" s="13" t="s">
        <v>232</v>
      </c>
      <c r="L9" s="13">
        <v>668</v>
      </c>
      <c r="M9" s="13">
        <v>0</v>
      </c>
      <c r="N9" s="13" t="s">
        <v>10</v>
      </c>
      <c r="O9" s="634"/>
      <c r="P9" s="639"/>
      <c r="Q9" s="634"/>
      <c r="T9" s="395"/>
      <c r="U9" s="396"/>
      <c r="V9" s="397"/>
    </row>
    <row r="10" spans="1:22" ht="25.5" customHeight="1" x14ac:dyDescent="0.25">
      <c r="A10" s="14">
        <v>44483</v>
      </c>
      <c r="B10" s="15">
        <v>2010663446</v>
      </c>
      <c r="C10" s="15" t="s">
        <v>0</v>
      </c>
      <c r="D10" s="67">
        <v>78421.34</v>
      </c>
      <c r="E10" s="15" t="s">
        <v>39</v>
      </c>
      <c r="F10" s="15" t="s">
        <v>2</v>
      </c>
      <c r="G10" s="15" t="s">
        <v>138</v>
      </c>
      <c r="H10" s="15" t="s">
        <v>97</v>
      </c>
      <c r="I10" s="15" t="s">
        <v>230</v>
      </c>
      <c r="J10" s="15" t="s">
        <v>231</v>
      </c>
      <c r="K10" s="15" t="s">
        <v>232</v>
      </c>
      <c r="L10" s="15">
        <v>440</v>
      </c>
      <c r="M10" s="15">
        <v>28660</v>
      </c>
      <c r="N10" s="15" t="s">
        <v>8</v>
      </c>
      <c r="O10" s="632">
        <v>24075.35138</v>
      </c>
      <c r="P10" s="646">
        <f>O10/D10*100</f>
        <v>30.7</v>
      </c>
      <c r="Q10" s="632">
        <f>D10/(L10+L11)</f>
        <v>89.115159090909088</v>
      </c>
      <c r="T10" s="395"/>
      <c r="U10" s="396"/>
      <c r="V10" s="397"/>
    </row>
    <row r="11" spans="1:22" ht="25.5" customHeight="1" x14ac:dyDescent="0.25">
      <c r="A11" s="14">
        <v>44484</v>
      </c>
      <c r="B11" s="15">
        <v>2816786</v>
      </c>
      <c r="C11" s="15" t="s">
        <v>9</v>
      </c>
      <c r="D11" s="67">
        <v>0</v>
      </c>
      <c r="E11" s="15"/>
      <c r="F11" s="15" t="s">
        <v>138</v>
      </c>
      <c r="G11" s="15" t="s">
        <v>2</v>
      </c>
      <c r="H11" s="15" t="s">
        <v>97</v>
      </c>
      <c r="I11" s="15" t="s">
        <v>230</v>
      </c>
      <c r="J11" s="15" t="s">
        <v>231</v>
      </c>
      <c r="K11" s="15" t="s">
        <v>232</v>
      </c>
      <c r="L11" s="15">
        <v>440</v>
      </c>
      <c r="M11" s="15">
        <v>0</v>
      </c>
      <c r="N11" s="15" t="s">
        <v>10</v>
      </c>
      <c r="O11" s="632"/>
      <c r="P11" s="646"/>
      <c r="Q11" s="632"/>
      <c r="T11" s="395"/>
      <c r="U11" s="396"/>
      <c r="V11" s="397"/>
    </row>
    <row r="12" spans="1:22" ht="25.5" customHeight="1" x14ac:dyDescent="0.25">
      <c r="A12" s="10">
        <v>44485</v>
      </c>
      <c r="B12" s="11">
        <v>2010694166</v>
      </c>
      <c r="C12" s="11" t="s">
        <v>0</v>
      </c>
      <c r="D12" s="66">
        <v>125108.71</v>
      </c>
      <c r="E12" s="11" t="s">
        <v>41</v>
      </c>
      <c r="F12" s="11" t="s">
        <v>2</v>
      </c>
      <c r="G12" s="11" t="s">
        <v>12</v>
      </c>
      <c r="H12" s="11" t="s">
        <v>97</v>
      </c>
      <c r="I12" s="11" t="s">
        <v>230</v>
      </c>
      <c r="J12" s="11" t="s">
        <v>231</v>
      </c>
      <c r="K12" s="11" t="s">
        <v>232</v>
      </c>
      <c r="L12" s="11">
        <v>740</v>
      </c>
      <c r="M12" s="11">
        <v>29330</v>
      </c>
      <c r="N12" s="11" t="s">
        <v>8</v>
      </c>
      <c r="O12" s="630">
        <v>38408.373970000001</v>
      </c>
      <c r="P12" s="636">
        <f>O12/D12*100</f>
        <v>30.7</v>
      </c>
      <c r="Q12" s="630">
        <f>D12/(L12+L13)</f>
        <v>84.532912162162162</v>
      </c>
      <c r="T12" s="395"/>
      <c r="U12" s="396"/>
      <c r="V12" s="397"/>
    </row>
    <row r="13" spans="1:22" ht="25.5" customHeight="1" x14ac:dyDescent="0.25">
      <c r="A13" s="10">
        <v>44487</v>
      </c>
      <c r="B13" s="11">
        <v>2816765</v>
      </c>
      <c r="C13" s="11" t="s">
        <v>9</v>
      </c>
      <c r="D13" s="66">
        <v>0</v>
      </c>
      <c r="E13" s="11"/>
      <c r="F13" s="11" t="s">
        <v>12</v>
      </c>
      <c r="G13" s="11" t="s">
        <v>2</v>
      </c>
      <c r="H13" s="11" t="s">
        <v>97</v>
      </c>
      <c r="I13" s="11" t="s">
        <v>230</v>
      </c>
      <c r="J13" s="11" t="s">
        <v>231</v>
      </c>
      <c r="K13" s="11" t="s">
        <v>232</v>
      </c>
      <c r="L13" s="11">
        <v>740</v>
      </c>
      <c r="M13" s="11">
        <v>0</v>
      </c>
      <c r="N13" s="11" t="s">
        <v>10</v>
      </c>
      <c r="O13" s="630"/>
      <c r="P13" s="636"/>
      <c r="Q13" s="630"/>
      <c r="T13" s="398"/>
      <c r="U13" s="399"/>
      <c r="V13" s="400"/>
    </row>
    <row r="14" spans="1:22" ht="25.5" customHeight="1" x14ac:dyDescent="0.25">
      <c r="A14" s="16">
        <v>44488</v>
      </c>
      <c r="B14" s="17">
        <v>2010694589</v>
      </c>
      <c r="C14" s="17" t="s">
        <v>0</v>
      </c>
      <c r="D14" s="70">
        <v>125108.71</v>
      </c>
      <c r="E14" s="17" t="s">
        <v>41</v>
      </c>
      <c r="F14" s="17" t="s">
        <v>2</v>
      </c>
      <c r="G14" s="17" t="s">
        <v>3</v>
      </c>
      <c r="H14" s="17" t="s">
        <v>97</v>
      </c>
      <c r="I14" s="17" t="s">
        <v>234</v>
      </c>
      <c r="J14" s="17" t="s">
        <v>231</v>
      </c>
      <c r="K14" s="17" t="s">
        <v>232</v>
      </c>
      <c r="L14" s="17">
        <v>740</v>
      </c>
      <c r="M14" s="17">
        <v>28930</v>
      </c>
      <c r="N14" s="17" t="s">
        <v>8</v>
      </c>
      <c r="O14" s="628">
        <v>38408.373970000001</v>
      </c>
      <c r="P14" s="643">
        <f>O14/D14*100</f>
        <v>30.7</v>
      </c>
      <c r="Q14" s="628">
        <f>D14/(L14+L15)</f>
        <v>84.532912162162162</v>
      </c>
    </row>
    <row r="15" spans="1:22" ht="25.5" customHeight="1" x14ac:dyDescent="0.25">
      <c r="A15" s="16">
        <v>44489</v>
      </c>
      <c r="B15" s="17">
        <v>2816751</v>
      </c>
      <c r="C15" s="17" t="s">
        <v>9</v>
      </c>
      <c r="D15" s="70">
        <v>0</v>
      </c>
      <c r="E15" s="17"/>
      <c r="F15" s="17" t="s">
        <v>3</v>
      </c>
      <c r="G15" s="17" t="s">
        <v>2</v>
      </c>
      <c r="H15" s="17" t="s">
        <v>97</v>
      </c>
      <c r="I15" s="17" t="s">
        <v>234</v>
      </c>
      <c r="J15" s="17" t="s">
        <v>231</v>
      </c>
      <c r="K15" s="17" t="s">
        <v>232</v>
      </c>
      <c r="L15" s="17">
        <v>740</v>
      </c>
      <c r="M15" s="17">
        <v>0</v>
      </c>
      <c r="N15" s="17" t="s">
        <v>10</v>
      </c>
      <c r="O15" s="628"/>
      <c r="P15" s="643"/>
      <c r="Q15" s="628"/>
    </row>
    <row r="16" spans="1:22" ht="25.5" customHeight="1" x14ac:dyDescent="0.25">
      <c r="A16" s="12">
        <v>44491</v>
      </c>
      <c r="B16" s="13">
        <v>2010715512</v>
      </c>
      <c r="C16" s="13" t="s">
        <v>0</v>
      </c>
      <c r="D16" s="68">
        <v>125108.71</v>
      </c>
      <c r="E16" s="13" t="s">
        <v>60</v>
      </c>
      <c r="F16" s="13" t="s">
        <v>2</v>
      </c>
      <c r="G16" s="13" t="s">
        <v>3</v>
      </c>
      <c r="H16" s="13" t="s">
        <v>97</v>
      </c>
      <c r="I16" s="13" t="s">
        <v>230</v>
      </c>
      <c r="J16" s="13" t="s">
        <v>231</v>
      </c>
      <c r="K16" s="13" t="s">
        <v>232</v>
      </c>
      <c r="L16" s="13">
        <v>740</v>
      </c>
      <c r="M16" s="13">
        <v>29030</v>
      </c>
      <c r="N16" s="13" t="s">
        <v>8</v>
      </c>
      <c r="O16" s="634">
        <v>38408.373970000001</v>
      </c>
      <c r="P16" s="639">
        <f>O16/D16*100</f>
        <v>30.7</v>
      </c>
      <c r="Q16" s="634">
        <f>D16/(L16+L17)</f>
        <v>84.532912162162162</v>
      </c>
    </row>
    <row r="17" spans="1:17" ht="25.5" customHeight="1" x14ac:dyDescent="0.25">
      <c r="A17" s="12">
        <v>44491</v>
      </c>
      <c r="B17" s="13">
        <v>2816737</v>
      </c>
      <c r="C17" s="13" t="s">
        <v>9</v>
      </c>
      <c r="D17" s="68">
        <v>0</v>
      </c>
      <c r="E17" s="13"/>
      <c r="F17" s="13" t="s">
        <v>3</v>
      </c>
      <c r="G17" s="13" t="s">
        <v>2</v>
      </c>
      <c r="H17" s="13" t="s">
        <v>97</v>
      </c>
      <c r="I17" s="13" t="s">
        <v>230</v>
      </c>
      <c r="J17" s="13" t="s">
        <v>231</v>
      </c>
      <c r="K17" s="13" t="s">
        <v>232</v>
      </c>
      <c r="L17" s="13">
        <v>740</v>
      </c>
      <c r="M17" s="13">
        <v>0</v>
      </c>
      <c r="N17" s="13" t="s">
        <v>10</v>
      </c>
      <c r="O17" s="634"/>
      <c r="P17" s="639"/>
      <c r="Q17" s="634"/>
    </row>
    <row r="18" spans="1:17" ht="25.5" customHeight="1" x14ac:dyDescent="0.25">
      <c r="A18" s="14">
        <v>44497</v>
      </c>
      <c r="B18" s="15">
        <v>2010715475</v>
      </c>
      <c r="C18" s="15" t="s">
        <v>0</v>
      </c>
      <c r="D18" s="67">
        <v>125108.71</v>
      </c>
      <c r="E18" s="15" t="s">
        <v>44</v>
      </c>
      <c r="F18" s="15" t="s">
        <v>2</v>
      </c>
      <c r="G18" s="15" t="s">
        <v>3</v>
      </c>
      <c r="H18" s="15" t="s">
        <v>97</v>
      </c>
      <c r="I18" s="15" t="s">
        <v>230</v>
      </c>
      <c r="J18" s="15" t="s">
        <v>231</v>
      </c>
      <c r="K18" s="15" t="s">
        <v>232</v>
      </c>
      <c r="L18" s="15">
        <v>740</v>
      </c>
      <c r="M18" s="15">
        <v>29510</v>
      </c>
      <c r="N18" s="15" t="s">
        <v>8</v>
      </c>
      <c r="O18" s="632">
        <v>38408.373970000001</v>
      </c>
      <c r="P18" s="646">
        <f>O18/D18*100</f>
        <v>30.7</v>
      </c>
      <c r="Q18" s="632">
        <f>D18/(L18+L19)</f>
        <v>84.532912162162162</v>
      </c>
    </row>
    <row r="19" spans="1:17" ht="25.5" customHeight="1" x14ac:dyDescent="0.25">
      <c r="A19" s="85">
        <v>44499</v>
      </c>
      <c r="B19" s="86">
        <v>2816696</v>
      </c>
      <c r="C19" s="86" t="s">
        <v>9</v>
      </c>
      <c r="D19" s="87">
        <v>0</v>
      </c>
      <c r="E19" s="86"/>
      <c r="F19" s="86" t="s">
        <v>3</v>
      </c>
      <c r="G19" s="86" t="s">
        <v>2</v>
      </c>
      <c r="H19" s="86" t="s">
        <v>97</v>
      </c>
      <c r="I19" s="86" t="s">
        <v>230</v>
      </c>
      <c r="J19" s="86" t="s">
        <v>231</v>
      </c>
      <c r="K19" s="86" t="s">
        <v>232</v>
      </c>
      <c r="L19" s="86">
        <v>740</v>
      </c>
      <c r="M19" s="86">
        <v>0</v>
      </c>
      <c r="N19" s="86" t="s">
        <v>10</v>
      </c>
      <c r="O19" s="632"/>
      <c r="P19" s="646"/>
      <c r="Q19" s="632"/>
    </row>
    <row r="20" spans="1:17" x14ac:dyDescent="0.25">
      <c r="A20" s="9"/>
      <c r="B20" s="9"/>
      <c r="C20" s="9"/>
      <c r="D20" s="18">
        <f>SUM(D4:D19)</f>
        <v>944485.49999999988</v>
      </c>
      <c r="E20" s="9"/>
      <c r="F20" s="9"/>
      <c r="G20" s="9"/>
      <c r="H20" s="9"/>
      <c r="I20" s="9"/>
      <c r="J20" s="9"/>
      <c r="K20" s="9"/>
      <c r="L20" s="9">
        <f>SUM(L4:L19)</f>
        <v>11096</v>
      </c>
      <c r="M20" s="9"/>
      <c r="N20" s="9"/>
      <c r="O20" s="24">
        <f>SUM(O4:O19)</f>
        <v>289957.04850000003</v>
      </c>
      <c r="P20" s="28">
        <f>O20/D20*100</f>
        <v>30.700000000000006</v>
      </c>
      <c r="Q20" s="26">
        <f>D20/L20</f>
        <v>85.119457462148517</v>
      </c>
    </row>
    <row r="22" spans="1:17" ht="15" customHeight="1" x14ac:dyDescent="0.25">
      <c r="A22" s="36" t="s">
        <v>322</v>
      </c>
      <c r="B22" s="36" t="s">
        <v>323</v>
      </c>
      <c r="C22" s="36" t="s">
        <v>324</v>
      </c>
      <c r="D22" s="36" t="s">
        <v>325</v>
      </c>
      <c r="F22" s="37" t="s">
        <v>326</v>
      </c>
      <c r="G22" s="37" t="s">
        <v>327</v>
      </c>
      <c r="H22" s="37" t="s">
        <v>328</v>
      </c>
      <c r="I22" s="38"/>
    </row>
    <row r="23" spans="1:17" x14ac:dyDescent="0.25">
      <c r="A23" s="39">
        <f>D20/L20</f>
        <v>85.119457462148517</v>
      </c>
      <c r="B23" s="40">
        <f>COMBUSTIBLE!C139</f>
        <v>3974.134</v>
      </c>
      <c r="C23" s="41">
        <f>B23/L20*100</f>
        <v>35.815915645277578</v>
      </c>
      <c r="D23" s="42">
        <f>B29/B23</f>
        <v>67.529786589742585</v>
      </c>
      <c r="F23" s="43">
        <f>+B29/D20</f>
        <v>0.28414668186969527</v>
      </c>
      <c r="G23" s="43">
        <f>B34/D20</f>
        <v>0.32935894620028405</v>
      </c>
      <c r="H23" s="44"/>
      <c r="I23" s="38"/>
    </row>
    <row r="24" spans="1:17" x14ac:dyDescent="0.25">
      <c r="C24" s="2" t="s">
        <v>1225</v>
      </c>
      <c r="F24" s="38"/>
      <c r="G24" s="38"/>
      <c r="H24" s="38"/>
      <c r="I24" s="38"/>
    </row>
    <row r="25" spans="1:17" x14ac:dyDescent="0.25">
      <c r="A25" s="36"/>
      <c r="B25" s="36" t="s">
        <v>329</v>
      </c>
      <c r="C25" s="36" t="s">
        <v>330</v>
      </c>
      <c r="D25" s="36" t="s">
        <v>232</v>
      </c>
      <c r="K25" s="25"/>
      <c r="L25" s="29"/>
      <c r="M25" s="25"/>
      <c r="O25" s="2"/>
      <c r="P25" s="2"/>
      <c r="Q25" s="2"/>
    </row>
    <row r="26" spans="1:17" x14ac:dyDescent="0.25">
      <c r="A26" s="7" t="s">
        <v>331</v>
      </c>
      <c r="B26" s="24">
        <f>D20</f>
        <v>944485.49999999988</v>
      </c>
      <c r="C26" s="45">
        <f>B27</f>
        <v>289957.04850000003</v>
      </c>
      <c r="D26" s="46">
        <f>C26/B26</f>
        <v>0.30700000000000005</v>
      </c>
      <c r="K26" s="25"/>
      <c r="L26" s="29"/>
      <c r="M26" s="25"/>
      <c r="O26" s="2"/>
      <c r="P26" s="2"/>
      <c r="Q26" s="2"/>
    </row>
    <row r="27" spans="1:17" x14ac:dyDescent="0.25">
      <c r="A27" s="47" t="s">
        <v>27</v>
      </c>
      <c r="B27" s="24">
        <f>O20</f>
        <v>289957.04850000003</v>
      </c>
      <c r="C27" s="9"/>
    </row>
    <row r="28" spans="1:17" x14ac:dyDescent="0.25">
      <c r="A28" s="48" t="s">
        <v>332</v>
      </c>
      <c r="B28" s="49">
        <f>(6*(78578.313+12454.55))/(150000+80000)*L20</f>
        <v>26350.451682991305</v>
      </c>
      <c r="C28" s="49">
        <f>(12*(78578.313+12454.55))/(150000+80000)*L20</f>
        <v>52700.903365982609</v>
      </c>
    </row>
    <row r="29" spans="1:17" x14ac:dyDescent="0.25">
      <c r="A29" s="48" t="s">
        <v>333</v>
      </c>
      <c r="B29" s="24">
        <f>COMBUSTIBLE!J139</f>
        <v>268372.42089904007</v>
      </c>
      <c r="C29" s="9"/>
    </row>
    <row r="30" spans="1:17" x14ac:dyDescent="0.25">
      <c r="A30" s="48" t="s">
        <v>334</v>
      </c>
      <c r="B30" s="24"/>
      <c r="C30" s="9"/>
    </row>
    <row r="31" spans="1:17" x14ac:dyDescent="0.25">
      <c r="A31" s="48" t="s">
        <v>335</v>
      </c>
      <c r="B31" s="24">
        <f>'PATENTE PROVINCIAL'!N48</f>
        <v>2223.3000000000002</v>
      </c>
      <c r="C31" s="42">
        <f>'PATENTE PROVINCIAL'!N66</f>
        <v>672.6</v>
      </c>
    </row>
    <row r="32" spans="1:17" x14ac:dyDescent="0.25">
      <c r="A32" s="48" t="s">
        <v>336</v>
      </c>
      <c r="B32" s="24">
        <f>'PATENTE MUNICIPAL'!I55</f>
        <v>20.833333333333332</v>
      </c>
      <c r="C32" s="42">
        <f>'PATENTE MUNICIPAL'!I73</f>
        <v>941.10900000000004</v>
      </c>
    </row>
    <row r="33" spans="1:4" x14ac:dyDescent="0.25">
      <c r="A33" s="48" t="s">
        <v>337</v>
      </c>
      <c r="B33" s="24">
        <f>SEGURO!K59</f>
        <v>1236.5432093611639</v>
      </c>
      <c r="C33" s="42">
        <f>SEGURO!K77</f>
        <v>261.09831688804553</v>
      </c>
    </row>
    <row r="34" spans="1:4" x14ac:dyDescent="0.25">
      <c r="A34" s="48" t="s">
        <v>338</v>
      </c>
      <c r="B34" s="24">
        <f>L20*SUELDOS!U25</f>
        <v>311074.74898144836</v>
      </c>
      <c r="C34" s="42"/>
      <c r="D34" s="50">
        <f>B34/L20</f>
        <v>28.034854810873139</v>
      </c>
    </row>
    <row r="35" spans="1:4" x14ac:dyDescent="0.25">
      <c r="A35" s="48" t="s">
        <v>339</v>
      </c>
      <c r="B35" s="24">
        <f>'GASTOS TRACTOR'!H281</f>
        <v>53911.820950000001</v>
      </c>
      <c r="C35" s="42">
        <f>'GASTOS SEMI'!H189</f>
        <v>1300</v>
      </c>
    </row>
    <row r="36" spans="1:4" x14ac:dyDescent="0.25">
      <c r="A36" s="48" t="s">
        <v>340</v>
      </c>
      <c r="B36" s="24">
        <f>SUM(B28:B35)</f>
        <v>663190.11905617418</v>
      </c>
      <c r="C36" s="51">
        <f>SUM(C28:C35)</f>
        <v>55875.710682870653</v>
      </c>
    </row>
    <row r="37" spans="1:4" x14ac:dyDescent="0.25">
      <c r="A37" s="36" t="s">
        <v>341</v>
      </c>
      <c r="B37" s="52">
        <f>B26-B27-B36</f>
        <v>-8661.6675561743323</v>
      </c>
      <c r="C37" s="53">
        <f>C26-C27-C36</f>
        <v>234081.33781712939</v>
      </c>
      <c r="D37" s="52">
        <f>+B37+C37</f>
        <v>225419.67026095506</v>
      </c>
    </row>
  </sheetData>
  <sortState xmlns:xlrd2="http://schemas.microsoft.com/office/spreadsheetml/2017/richdata2" ref="A2:P18">
    <sortCondition ref="A1"/>
  </sortState>
  <mergeCells count="25">
    <mergeCell ref="Q18:Q19"/>
    <mergeCell ref="P18:P19"/>
    <mergeCell ref="O18:O19"/>
    <mergeCell ref="Q16:Q17"/>
    <mergeCell ref="P16:P17"/>
    <mergeCell ref="O16:O17"/>
    <mergeCell ref="Q14:Q15"/>
    <mergeCell ref="P14:P15"/>
    <mergeCell ref="O14:O15"/>
    <mergeCell ref="Q12:Q13"/>
    <mergeCell ref="P12:P13"/>
    <mergeCell ref="O12:O13"/>
    <mergeCell ref="Q10:Q11"/>
    <mergeCell ref="P10:P11"/>
    <mergeCell ref="O10:O11"/>
    <mergeCell ref="Q8:Q9"/>
    <mergeCell ref="P8:P9"/>
    <mergeCell ref="O8:O9"/>
    <mergeCell ref="A1:Q2"/>
    <mergeCell ref="Q6:Q7"/>
    <mergeCell ref="P6:P7"/>
    <mergeCell ref="O6:O7"/>
    <mergeCell ref="Q4:Q5"/>
    <mergeCell ref="P4:P5"/>
    <mergeCell ref="O4:O5"/>
  </mergeCells>
  <conditionalFormatting sqref="C23">
    <cfRule type="cellIs" dxfId="50" priority="1" operator="lessThan">
      <formula>29</formula>
    </cfRule>
    <cfRule type="cellIs" dxfId="49" priority="2" operator="greaterThan">
      <formula>38</formula>
    </cfRule>
    <cfRule type="cellIs" dxfId="48" priority="3" operator="lessThan">
      <formula>38</formula>
    </cfRule>
    <cfRule type="cellIs" dxfId="47" priority="4" operator="lessThan">
      <formula>38</formula>
    </cfRule>
    <cfRule type="cellIs" dxfId="46" priority="5" operator="greaterThan">
      <formula>40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V38"/>
  <sheetViews>
    <sheetView topLeftCell="A23" zoomScaleNormal="100" workbookViewId="0">
      <selection activeCell="A44" sqref="A44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24" style="2" bestFit="1" customWidth="1"/>
    <col min="10" max="10" width="8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22" x14ac:dyDescent="0.25">
      <c r="A1" s="627" t="s">
        <v>353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22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22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22" ht="25.5" customHeight="1" x14ac:dyDescent="0.25">
      <c r="A4" s="3">
        <v>44470</v>
      </c>
      <c r="B4" s="4">
        <v>2816376</v>
      </c>
      <c r="C4" s="4" t="s">
        <v>9</v>
      </c>
      <c r="D4" s="5">
        <v>0</v>
      </c>
      <c r="E4" s="4"/>
      <c r="F4" s="4" t="s">
        <v>96</v>
      </c>
      <c r="G4" s="4" t="s">
        <v>46</v>
      </c>
      <c r="H4" s="4" t="s">
        <v>97</v>
      </c>
      <c r="I4" s="4" t="s">
        <v>244</v>
      </c>
      <c r="J4" s="4" t="s">
        <v>245</v>
      </c>
      <c r="K4" s="4" t="s">
        <v>246</v>
      </c>
      <c r="L4" s="4">
        <v>232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22" ht="25.5" customHeight="1" x14ac:dyDescent="0.25">
      <c r="A5" s="10">
        <v>44473</v>
      </c>
      <c r="B5" s="11">
        <v>3028635</v>
      </c>
      <c r="C5" s="11" t="s">
        <v>50</v>
      </c>
      <c r="D5" s="66">
        <v>123657.88</v>
      </c>
      <c r="E5" s="11" t="s">
        <v>51</v>
      </c>
      <c r="F5" s="11" t="s">
        <v>46</v>
      </c>
      <c r="G5" s="11" t="s">
        <v>126</v>
      </c>
      <c r="H5" s="11" t="s">
        <v>97</v>
      </c>
      <c r="I5" s="11" t="s">
        <v>244</v>
      </c>
      <c r="J5" s="11" t="s">
        <v>245</v>
      </c>
      <c r="K5" s="11" t="s">
        <v>246</v>
      </c>
      <c r="L5" s="11">
        <v>671</v>
      </c>
      <c r="M5" s="11">
        <v>34280</v>
      </c>
      <c r="N5" s="11" t="s">
        <v>38</v>
      </c>
      <c r="O5" s="637">
        <v>37962.969160000001</v>
      </c>
      <c r="P5" s="631">
        <f>O5/D5*100</f>
        <v>30.7</v>
      </c>
      <c r="Q5" s="630">
        <f>D5/(L5+L6)</f>
        <v>92.144470938897172</v>
      </c>
      <c r="T5" s="395"/>
      <c r="U5" s="396"/>
      <c r="V5" s="397"/>
    </row>
    <row r="6" spans="1:22" ht="25.5" customHeight="1" x14ac:dyDescent="0.25">
      <c r="A6" s="10">
        <v>44475</v>
      </c>
      <c r="B6" s="11">
        <v>2816377</v>
      </c>
      <c r="C6" s="11" t="s">
        <v>9</v>
      </c>
      <c r="D6" s="66">
        <v>0</v>
      </c>
      <c r="E6" s="11"/>
      <c r="F6" s="11" t="s">
        <v>126</v>
      </c>
      <c r="G6" s="11" t="s">
        <v>46</v>
      </c>
      <c r="H6" s="11" t="s">
        <v>97</v>
      </c>
      <c r="I6" s="11" t="s">
        <v>244</v>
      </c>
      <c r="J6" s="11" t="s">
        <v>245</v>
      </c>
      <c r="K6" s="11" t="s">
        <v>246</v>
      </c>
      <c r="L6" s="11">
        <v>671</v>
      </c>
      <c r="M6" s="11">
        <v>0</v>
      </c>
      <c r="N6" s="11" t="s">
        <v>10</v>
      </c>
      <c r="O6" s="638"/>
      <c r="P6" s="631"/>
      <c r="Q6" s="630"/>
      <c r="T6" s="395"/>
      <c r="U6" s="396"/>
      <c r="V6" s="397"/>
    </row>
    <row r="7" spans="1:22" ht="25.5" customHeight="1" x14ac:dyDescent="0.25">
      <c r="A7" s="16">
        <v>44476</v>
      </c>
      <c r="B7" s="17">
        <v>2816375</v>
      </c>
      <c r="C7" s="17" t="s">
        <v>9</v>
      </c>
      <c r="D7" s="70">
        <v>0</v>
      </c>
      <c r="E7" s="17"/>
      <c r="F7" s="17" t="s">
        <v>46</v>
      </c>
      <c r="G7" s="17" t="s">
        <v>171</v>
      </c>
      <c r="H7" s="17" t="s">
        <v>97</v>
      </c>
      <c r="I7" s="17" t="s">
        <v>244</v>
      </c>
      <c r="J7" s="17" t="s">
        <v>245</v>
      </c>
      <c r="K7" s="17" t="s">
        <v>247</v>
      </c>
      <c r="L7" s="17">
        <v>260</v>
      </c>
      <c r="M7" s="17">
        <v>0</v>
      </c>
      <c r="N7" s="17" t="s">
        <v>10</v>
      </c>
      <c r="O7" s="644">
        <v>14948.889150000001</v>
      </c>
      <c r="P7" s="629">
        <f>O7/D8*100</f>
        <v>30.700000000000006</v>
      </c>
      <c r="Q7" s="628">
        <f>D8/(L7+L8+L9)</f>
        <v>72.67679104477611</v>
      </c>
      <c r="T7" s="395"/>
      <c r="U7" s="396"/>
      <c r="V7" s="397"/>
    </row>
    <row r="8" spans="1:22" ht="25.5" customHeight="1" x14ac:dyDescent="0.25">
      <c r="A8" s="16">
        <v>44476</v>
      </c>
      <c r="B8" s="17">
        <v>3031841</v>
      </c>
      <c r="C8" s="17" t="s">
        <v>169</v>
      </c>
      <c r="D8" s="70">
        <v>48693.45</v>
      </c>
      <c r="E8" s="17" t="s">
        <v>170</v>
      </c>
      <c r="F8" s="17" t="s">
        <v>171</v>
      </c>
      <c r="G8" s="17" t="s">
        <v>172</v>
      </c>
      <c r="H8" s="17" t="s">
        <v>97</v>
      </c>
      <c r="I8" s="17" t="s">
        <v>244</v>
      </c>
      <c r="J8" s="17" t="s">
        <v>245</v>
      </c>
      <c r="K8" s="17" t="s">
        <v>247</v>
      </c>
      <c r="L8" s="17">
        <v>250</v>
      </c>
      <c r="M8" s="17">
        <v>10680</v>
      </c>
      <c r="N8" s="17" t="s">
        <v>176</v>
      </c>
      <c r="O8" s="656"/>
      <c r="P8" s="629"/>
      <c r="Q8" s="628"/>
      <c r="T8" s="395"/>
      <c r="U8" s="396"/>
      <c r="V8" s="397"/>
    </row>
    <row r="9" spans="1:22" ht="25.5" customHeight="1" x14ac:dyDescent="0.25">
      <c r="A9" s="16">
        <v>44477</v>
      </c>
      <c r="B9" s="17">
        <v>2816390</v>
      </c>
      <c r="C9" s="17" t="s">
        <v>9</v>
      </c>
      <c r="D9" s="70">
        <v>0</v>
      </c>
      <c r="E9" s="17"/>
      <c r="F9" s="17" t="s">
        <v>172</v>
      </c>
      <c r="G9" s="17" t="s">
        <v>46</v>
      </c>
      <c r="H9" s="17" t="s">
        <v>97</v>
      </c>
      <c r="I9" s="17" t="s">
        <v>244</v>
      </c>
      <c r="J9" s="17" t="s">
        <v>245</v>
      </c>
      <c r="K9" s="17" t="s">
        <v>247</v>
      </c>
      <c r="L9" s="17">
        <v>160</v>
      </c>
      <c r="M9" s="17">
        <v>0</v>
      </c>
      <c r="N9" s="17" t="s">
        <v>10</v>
      </c>
      <c r="O9" s="645"/>
      <c r="P9" s="629"/>
      <c r="Q9" s="628"/>
      <c r="T9" s="395"/>
      <c r="U9" s="396"/>
      <c r="V9" s="397"/>
    </row>
    <row r="10" spans="1:22" ht="25.5" customHeight="1" x14ac:dyDescent="0.25">
      <c r="A10" s="12">
        <v>44477</v>
      </c>
      <c r="B10" s="13">
        <v>3031476</v>
      </c>
      <c r="C10" s="13" t="s">
        <v>50</v>
      </c>
      <c r="D10" s="68">
        <v>101785.94</v>
      </c>
      <c r="E10" s="13" t="s">
        <v>51</v>
      </c>
      <c r="F10" s="13" t="s">
        <v>46</v>
      </c>
      <c r="G10" s="13" t="s">
        <v>148</v>
      </c>
      <c r="H10" s="13" t="s">
        <v>97</v>
      </c>
      <c r="I10" s="13" t="s">
        <v>244</v>
      </c>
      <c r="J10" s="13" t="s">
        <v>245</v>
      </c>
      <c r="K10" s="13" t="s">
        <v>246</v>
      </c>
      <c r="L10" s="13">
        <v>560</v>
      </c>
      <c r="M10" s="13">
        <v>34220</v>
      </c>
      <c r="N10" s="13" t="s">
        <v>38</v>
      </c>
      <c r="O10" s="640">
        <v>31248.283579999999</v>
      </c>
      <c r="P10" s="635">
        <f>O10/D10*100</f>
        <v>30.7</v>
      </c>
      <c r="Q10" s="634">
        <f>D10/(L10+L11)</f>
        <v>90.88030357142857</v>
      </c>
      <c r="T10" s="395"/>
      <c r="U10" s="396"/>
      <c r="V10" s="397"/>
    </row>
    <row r="11" spans="1:22" ht="25.5" customHeight="1" x14ac:dyDescent="0.25">
      <c r="A11" s="12">
        <v>44481</v>
      </c>
      <c r="B11" s="13">
        <v>2816498</v>
      </c>
      <c r="C11" s="13" t="s">
        <v>9</v>
      </c>
      <c r="D11" s="68">
        <v>0</v>
      </c>
      <c r="E11" s="13"/>
      <c r="F11" s="13" t="s">
        <v>148</v>
      </c>
      <c r="G11" s="13" t="s">
        <v>46</v>
      </c>
      <c r="H11" s="13" t="s">
        <v>97</v>
      </c>
      <c r="I11" s="13" t="s">
        <v>244</v>
      </c>
      <c r="J11" s="13" t="s">
        <v>245</v>
      </c>
      <c r="K11" s="13" t="s">
        <v>246</v>
      </c>
      <c r="L11" s="13">
        <v>560</v>
      </c>
      <c r="M11" s="13">
        <v>0</v>
      </c>
      <c r="N11" s="13" t="s">
        <v>10</v>
      </c>
      <c r="O11" s="642"/>
      <c r="P11" s="635"/>
      <c r="Q11" s="634"/>
      <c r="T11" s="398"/>
      <c r="U11" s="399"/>
      <c r="V11" s="400"/>
    </row>
    <row r="12" spans="1:22" ht="25.5" customHeight="1" x14ac:dyDescent="0.25">
      <c r="A12" s="14">
        <v>44482</v>
      </c>
      <c r="B12" s="15">
        <v>3032251</v>
      </c>
      <c r="C12" s="15" t="s">
        <v>50</v>
      </c>
      <c r="D12" s="67">
        <v>23739.8</v>
      </c>
      <c r="E12" s="15" t="s">
        <v>68</v>
      </c>
      <c r="F12" s="15" t="s">
        <v>46</v>
      </c>
      <c r="G12" s="15" t="s">
        <v>81</v>
      </c>
      <c r="H12" s="15" t="s">
        <v>97</v>
      </c>
      <c r="I12" s="15" t="s">
        <v>244</v>
      </c>
      <c r="J12" s="15" t="s">
        <v>245</v>
      </c>
      <c r="K12" s="15" t="s">
        <v>246</v>
      </c>
      <c r="L12" s="15">
        <v>120</v>
      </c>
      <c r="M12" s="15">
        <v>34340</v>
      </c>
      <c r="N12" s="15" t="s">
        <v>38</v>
      </c>
      <c r="O12" s="647">
        <v>46686.665999999997</v>
      </c>
      <c r="P12" s="633">
        <f>O12/(D12+D14)*100</f>
        <v>30.700000124939315</v>
      </c>
      <c r="Q12" s="632">
        <f>(D12+D14)/(L12+L13+L14)</f>
        <v>110.19842753623188</v>
      </c>
    </row>
    <row r="13" spans="1:22" ht="25.5" customHeight="1" x14ac:dyDescent="0.25">
      <c r="A13" s="14">
        <v>44483</v>
      </c>
      <c r="B13" s="15">
        <v>2816497</v>
      </c>
      <c r="C13" s="15" t="s">
        <v>9</v>
      </c>
      <c r="D13" s="67">
        <v>0</v>
      </c>
      <c r="E13" s="15"/>
      <c r="F13" s="15" t="s">
        <v>81</v>
      </c>
      <c r="G13" s="15" t="s">
        <v>74</v>
      </c>
      <c r="H13" s="15" t="s">
        <v>97</v>
      </c>
      <c r="I13" s="15" t="s">
        <v>244</v>
      </c>
      <c r="J13" s="15" t="s">
        <v>245</v>
      </c>
      <c r="K13" s="15" t="s">
        <v>246</v>
      </c>
      <c r="L13" s="15">
        <v>560</v>
      </c>
      <c r="M13" s="15">
        <v>0</v>
      </c>
      <c r="N13" s="15" t="s">
        <v>10</v>
      </c>
      <c r="O13" s="657"/>
      <c r="P13" s="633"/>
      <c r="Q13" s="632"/>
    </row>
    <row r="14" spans="1:22" ht="25.5" customHeight="1" x14ac:dyDescent="0.25">
      <c r="A14" s="14">
        <v>44483</v>
      </c>
      <c r="B14" s="15">
        <v>3033121</v>
      </c>
      <c r="C14" s="15" t="s">
        <v>50</v>
      </c>
      <c r="D14" s="67">
        <v>128334.03</v>
      </c>
      <c r="E14" s="15" t="s">
        <v>95</v>
      </c>
      <c r="F14" s="15" t="s">
        <v>74</v>
      </c>
      <c r="G14" s="15" t="s">
        <v>46</v>
      </c>
      <c r="H14" s="15" t="s">
        <v>97</v>
      </c>
      <c r="I14" s="15" t="s">
        <v>244</v>
      </c>
      <c r="J14" s="15" t="s">
        <v>245</v>
      </c>
      <c r="K14" s="15" t="s">
        <v>246</v>
      </c>
      <c r="L14" s="15">
        <v>700</v>
      </c>
      <c r="M14" s="15">
        <v>34550</v>
      </c>
      <c r="N14" s="15" t="s">
        <v>38</v>
      </c>
      <c r="O14" s="648"/>
      <c r="P14" s="633"/>
      <c r="Q14" s="632"/>
    </row>
    <row r="15" spans="1:22" ht="25.5" customHeight="1" x14ac:dyDescent="0.25">
      <c r="A15" s="10">
        <v>44486</v>
      </c>
      <c r="B15" s="11">
        <v>3034582</v>
      </c>
      <c r="C15" s="11" t="s">
        <v>50</v>
      </c>
      <c r="D15" s="66">
        <v>123657.88</v>
      </c>
      <c r="E15" s="11" t="s">
        <v>68</v>
      </c>
      <c r="F15" s="11" t="s">
        <v>46</v>
      </c>
      <c r="G15" s="11" t="s">
        <v>126</v>
      </c>
      <c r="H15" s="11" t="s">
        <v>97</v>
      </c>
      <c r="I15" s="11" t="s">
        <v>244</v>
      </c>
      <c r="J15" s="11" t="s">
        <v>245</v>
      </c>
      <c r="K15" s="11" t="s">
        <v>246</v>
      </c>
      <c r="L15" s="11">
        <v>671</v>
      </c>
      <c r="M15" s="11">
        <v>34280</v>
      </c>
      <c r="N15" s="11" t="s">
        <v>38</v>
      </c>
      <c r="O15" s="637">
        <v>37962.969160000001</v>
      </c>
      <c r="P15" s="631">
        <f>O15/D15*100</f>
        <v>30.7</v>
      </c>
      <c r="Q15" s="630">
        <f>D15/(L15+L16)</f>
        <v>92.144470938897172</v>
      </c>
    </row>
    <row r="16" spans="1:22" ht="25.5" customHeight="1" x14ac:dyDescent="0.25">
      <c r="A16" s="10">
        <v>44487</v>
      </c>
      <c r="B16" s="11">
        <v>2816537</v>
      </c>
      <c r="C16" s="11" t="s">
        <v>9</v>
      </c>
      <c r="D16" s="66">
        <v>0</v>
      </c>
      <c r="E16" s="11"/>
      <c r="F16" s="11" t="s">
        <v>126</v>
      </c>
      <c r="G16" s="11" t="s">
        <v>46</v>
      </c>
      <c r="H16" s="11" t="s">
        <v>97</v>
      </c>
      <c r="I16" s="11" t="s">
        <v>244</v>
      </c>
      <c r="J16" s="11" t="s">
        <v>245</v>
      </c>
      <c r="K16" s="11" t="s">
        <v>246</v>
      </c>
      <c r="L16" s="11">
        <v>671</v>
      </c>
      <c r="M16" s="11">
        <v>0</v>
      </c>
      <c r="N16" s="11" t="s">
        <v>10</v>
      </c>
      <c r="O16" s="638"/>
      <c r="P16" s="631"/>
      <c r="Q16" s="630"/>
    </row>
    <row r="17" spans="1:17" ht="25.5" customHeight="1" x14ac:dyDescent="0.25">
      <c r="A17" s="16">
        <v>44489</v>
      </c>
      <c r="B17" s="17">
        <v>3036115</v>
      </c>
      <c r="C17" s="17" t="s">
        <v>50</v>
      </c>
      <c r="D17" s="70">
        <v>23670.67</v>
      </c>
      <c r="E17" s="17" t="s">
        <v>68</v>
      </c>
      <c r="F17" s="17" t="s">
        <v>46</v>
      </c>
      <c r="G17" s="17" t="s">
        <v>81</v>
      </c>
      <c r="H17" s="17" t="s">
        <v>97</v>
      </c>
      <c r="I17" s="17" t="s">
        <v>244</v>
      </c>
      <c r="J17" s="17" t="s">
        <v>245</v>
      </c>
      <c r="K17" s="17" t="s">
        <v>246</v>
      </c>
      <c r="L17" s="17">
        <v>120</v>
      </c>
      <c r="M17" s="17">
        <v>34240</v>
      </c>
      <c r="N17" s="17" t="s">
        <v>38</v>
      </c>
      <c r="O17" s="644">
        <v>7266.8956900000003</v>
      </c>
      <c r="P17" s="629">
        <f>O17/D17*100</f>
        <v>30.700000000000006</v>
      </c>
      <c r="Q17" s="628">
        <f>D17/(L17+L18)</f>
        <v>98.627791666666653</v>
      </c>
    </row>
    <row r="18" spans="1:17" ht="25.5" customHeight="1" x14ac:dyDescent="0.25">
      <c r="A18" s="16">
        <v>44489</v>
      </c>
      <c r="B18" s="17">
        <v>2816588</v>
      </c>
      <c r="C18" s="17" t="s">
        <v>9</v>
      </c>
      <c r="D18" s="70">
        <v>0</v>
      </c>
      <c r="E18" s="17"/>
      <c r="F18" s="17" t="s">
        <v>81</v>
      </c>
      <c r="G18" s="17" t="s">
        <v>46</v>
      </c>
      <c r="H18" s="17" t="s">
        <v>97</v>
      </c>
      <c r="I18" s="17" t="s">
        <v>244</v>
      </c>
      <c r="J18" s="17" t="s">
        <v>245</v>
      </c>
      <c r="K18" s="17" t="s">
        <v>246</v>
      </c>
      <c r="L18" s="17">
        <v>120</v>
      </c>
      <c r="M18" s="17">
        <v>0</v>
      </c>
      <c r="N18" s="17" t="s">
        <v>10</v>
      </c>
      <c r="O18" s="645"/>
      <c r="P18" s="629"/>
      <c r="Q18" s="628"/>
    </row>
    <row r="19" spans="1:17" ht="25.5" customHeight="1" x14ac:dyDescent="0.25">
      <c r="A19" s="12">
        <v>44489</v>
      </c>
      <c r="B19" s="13">
        <v>3036818</v>
      </c>
      <c r="C19" s="13" t="s">
        <v>50</v>
      </c>
      <c r="D19" s="68">
        <v>123585.74</v>
      </c>
      <c r="E19" s="13" t="s">
        <v>68</v>
      </c>
      <c r="F19" s="13" t="s">
        <v>46</v>
      </c>
      <c r="G19" s="13" t="s">
        <v>126</v>
      </c>
      <c r="H19" s="13" t="s">
        <v>97</v>
      </c>
      <c r="I19" s="13" t="s">
        <v>244</v>
      </c>
      <c r="J19" s="13" t="s">
        <v>245</v>
      </c>
      <c r="K19" s="13" t="s">
        <v>246</v>
      </c>
      <c r="L19" s="13">
        <v>671</v>
      </c>
      <c r="M19" s="13">
        <v>34260</v>
      </c>
      <c r="N19" s="13" t="s">
        <v>38</v>
      </c>
      <c r="O19" s="640">
        <v>37940.822180000003</v>
      </c>
      <c r="P19" s="635">
        <f>O19/D19*100</f>
        <v>30.7</v>
      </c>
      <c r="Q19" s="634">
        <f>D19/(L19+L20)</f>
        <v>92.090715350223547</v>
      </c>
    </row>
    <row r="20" spans="1:17" ht="25.5" customHeight="1" x14ac:dyDescent="0.25">
      <c r="A20" s="12">
        <v>44492</v>
      </c>
      <c r="B20" s="13">
        <v>2816587</v>
      </c>
      <c r="C20" s="13" t="s">
        <v>9</v>
      </c>
      <c r="D20" s="68">
        <v>0</v>
      </c>
      <c r="E20" s="13"/>
      <c r="F20" s="13" t="s">
        <v>126</v>
      </c>
      <c r="G20" s="13" t="s">
        <v>46</v>
      </c>
      <c r="H20" s="13" t="s">
        <v>97</v>
      </c>
      <c r="I20" s="13" t="s">
        <v>244</v>
      </c>
      <c r="J20" s="13" t="s">
        <v>245</v>
      </c>
      <c r="K20" s="13" t="s">
        <v>246</v>
      </c>
      <c r="L20" s="13">
        <v>671</v>
      </c>
      <c r="M20" s="13">
        <v>0</v>
      </c>
      <c r="N20" s="13" t="s">
        <v>10</v>
      </c>
      <c r="O20" s="642"/>
      <c r="P20" s="635"/>
      <c r="Q20" s="634"/>
    </row>
    <row r="21" spans="1:17" x14ac:dyDescent="0.25">
      <c r="A21" s="9"/>
      <c r="B21" s="9"/>
      <c r="C21" s="9"/>
      <c r="D21" s="18">
        <f>SUM(D4:D20)</f>
        <v>697125.39</v>
      </c>
      <c r="E21" s="9"/>
      <c r="F21" s="9"/>
      <c r="G21" s="9"/>
      <c r="H21" s="9"/>
      <c r="I21" s="9"/>
      <c r="J21" s="9"/>
      <c r="K21" s="9"/>
      <c r="L21" s="9">
        <f>SUM(L4:L20)</f>
        <v>7668</v>
      </c>
      <c r="M21" s="9"/>
      <c r="N21" s="9"/>
      <c r="O21" s="24">
        <f>SUM(O4:O20)</f>
        <v>214017.49492000003</v>
      </c>
      <c r="P21" s="64">
        <f>O21/D21*100</f>
        <v>30.700000027254788</v>
      </c>
      <c r="Q21" s="26">
        <f>D21/L21</f>
        <v>90.913587636932704</v>
      </c>
    </row>
    <row r="23" spans="1:17" ht="15" customHeight="1" x14ac:dyDescent="0.25">
      <c r="A23" s="36" t="s">
        <v>322</v>
      </c>
      <c r="B23" s="36" t="s">
        <v>323</v>
      </c>
      <c r="C23" s="36" t="s">
        <v>324</v>
      </c>
      <c r="D23" s="36" t="s">
        <v>325</v>
      </c>
      <c r="F23" s="37" t="s">
        <v>326</v>
      </c>
      <c r="G23" s="37" t="s">
        <v>327</v>
      </c>
      <c r="H23" s="37" t="s">
        <v>328</v>
      </c>
      <c r="I23" s="38"/>
    </row>
    <row r="24" spans="1:17" x14ac:dyDescent="0.25">
      <c r="A24" s="39">
        <f>D21/L21</f>
        <v>90.913587636932704</v>
      </c>
      <c r="B24" s="40">
        <f>COMBUSTIBLE!C146</f>
        <v>3349</v>
      </c>
      <c r="C24" s="41">
        <f>B24/L21*100</f>
        <v>43.675013041210228</v>
      </c>
      <c r="D24" s="42">
        <f>B30/B24</f>
        <v>67.933039295312028</v>
      </c>
      <c r="F24" s="43">
        <f>+B30/D21</f>
        <v>0.32635125884598748</v>
      </c>
      <c r="G24" s="43">
        <f>B35/D21</f>
        <v>0.34495417791145622</v>
      </c>
      <c r="H24" s="44"/>
      <c r="I24" s="38"/>
    </row>
    <row r="25" spans="1:17" x14ac:dyDescent="0.25">
      <c r="C25" s="2" t="s">
        <v>1226</v>
      </c>
      <c r="F25" s="38"/>
      <c r="G25" s="38"/>
      <c r="H25" s="38"/>
      <c r="I25" s="38"/>
    </row>
    <row r="26" spans="1:17" x14ac:dyDescent="0.25">
      <c r="A26" s="36"/>
      <c r="B26" s="36" t="s">
        <v>329</v>
      </c>
      <c r="C26" s="36" t="s">
        <v>330</v>
      </c>
      <c r="D26" s="36" t="s">
        <v>247</v>
      </c>
      <c r="K26" s="25"/>
      <c r="L26" s="29"/>
      <c r="M26" s="25"/>
      <c r="O26" s="2"/>
      <c r="P26" s="2"/>
      <c r="Q26" s="2"/>
    </row>
    <row r="27" spans="1:17" x14ac:dyDescent="0.25">
      <c r="A27" s="7" t="s">
        <v>331</v>
      </c>
      <c r="B27" s="24">
        <f>D21</f>
        <v>697125.39</v>
      </c>
      <c r="C27" s="45">
        <f>B28</f>
        <v>214017.49492000003</v>
      </c>
      <c r="D27" s="46">
        <f>C27/B27</f>
        <v>0.30700000027254787</v>
      </c>
      <c r="K27" s="25"/>
      <c r="L27" s="29"/>
      <c r="M27" s="25"/>
      <c r="O27" s="2"/>
      <c r="P27" s="2"/>
      <c r="Q27" s="2"/>
    </row>
    <row r="28" spans="1:17" x14ac:dyDescent="0.25">
      <c r="A28" s="47" t="s">
        <v>27</v>
      </c>
      <c r="B28" s="24">
        <f>O21</f>
        <v>214017.49492000003</v>
      </c>
      <c r="C28" s="9"/>
    </row>
    <row r="29" spans="1:17" x14ac:dyDescent="0.25">
      <c r="A29" s="48" t="s">
        <v>332</v>
      </c>
      <c r="B29" s="49">
        <f>(10*(78578.313+12454.55))/(150000+80000)*L21</f>
        <v>30349.564934086957</v>
      </c>
      <c r="C29" s="49">
        <f>(12*(78578.313+12454.55))/(150000+80000)*L21</f>
        <v>36419.477920904348</v>
      </c>
    </row>
    <row r="30" spans="1:17" x14ac:dyDescent="0.25">
      <c r="A30" s="48" t="s">
        <v>333</v>
      </c>
      <c r="B30" s="24">
        <f>COMBUSTIBLE!J146</f>
        <v>227507.74859999999</v>
      </c>
      <c r="C30" s="9"/>
    </row>
    <row r="31" spans="1:17" x14ac:dyDescent="0.25">
      <c r="A31" s="48" t="s">
        <v>334</v>
      </c>
      <c r="B31" s="24"/>
      <c r="C31" s="9"/>
    </row>
    <row r="32" spans="1:17" x14ac:dyDescent="0.25">
      <c r="A32" s="48" t="s">
        <v>335</v>
      </c>
      <c r="B32" s="24">
        <f>'PATENTE PROVINCIAL'!N50</f>
        <v>1478.1</v>
      </c>
      <c r="C32" s="42"/>
    </row>
    <row r="33" spans="1:4" x14ac:dyDescent="0.25">
      <c r="A33" s="48" t="s">
        <v>336</v>
      </c>
      <c r="B33" s="24">
        <f>'PATENTE MUNICIPAL'!I57</f>
        <v>20.833333333333332</v>
      </c>
      <c r="C33" s="42">
        <f>'PATENTE MUNICIPAL'!I21</f>
        <v>12.5</v>
      </c>
    </row>
    <row r="34" spans="1:4" x14ac:dyDescent="0.25">
      <c r="A34" s="48" t="s">
        <v>337</v>
      </c>
      <c r="B34" s="24">
        <f>SEGURO!K61</f>
        <v>1234.7206287160027</v>
      </c>
      <c r="C34" s="42">
        <f>SEGURO!K24</f>
        <v>262.87788678051868</v>
      </c>
    </row>
    <row r="35" spans="1:4" x14ac:dyDescent="0.25">
      <c r="A35" s="48" t="s">
        <v>338</v>
      </c>
      <c r="B35" s="24">
        <f>L21*SUELDOS!Z14</f>
        <v>240476.31580865331</v>
      </c>
      <c r="C35" s="42"/>
      <c r="D35" s="50">
        <f>B35/L21</f>
        <v>31.361021884279253</v>
      </c>
    </row>
    <row r="36" spans="1:4" x14ac:dyDescent="0.25">
      <c r="A36" s="48" t="s">
        <v>339</v>
      </c>
      <c r="B36" s="24">
        <f>'GASTOS TRACTOR'!H293</f>
        <v>22944.05</v>
      </c>
      <c r="C36" s="42">
        <f>'GASTOS SEMI'!H41</f>
        <v>1300</v>
      </c>
    </row>
    <row r="37" spans="1:4" x14ac:dyDescent="0.25">
      <c r="A37" s="48" t="s">
        <v>340</v>
      </c>
      <c r="B37" s="24">
        <f>SUM(B29:B36)</f>
        <v>524011.33330478956</v>
      </c>
      <c r="C37" s="51">
        <f>SUM(C29:C36)</f>
        <v>37994.855807684864</v>
      </c>
    </row>
    <row r="38" spans="1:4" x14ac:dyDescent="0.25">
      <c r="A38" s="36" t="s">
        <v>341</v>
      </c>
      <c r="B38" s="52">
        <f>B27-B28-B37</f>
        <v>-40903.43822478957</v>
      </c>
      <c r="C38" s="53">
        <f>C27-C28-C37</f>
        <v>176022.63911231517</v>
      </c>
      <c r="D38" s="52">
        <f>+B38+C38</f>
        <v>135119.2008875256</v>
      </c>
    </row>
  </sheetData>
  <sortState xmlns:xlrd2="http://schemas.microsoft.com/office/spreadsheetml/2017/richdata2" ref="A2:P20">
    <sortCondition ref="A1"/>
  </sortState>
  <mergeCells count="22">
    <mergeCell ref="Q19:Q20"/>
    <mergeCell ref="P19:P20"/>
    <mergeCell ref="O19:O20"/>
    <mergeCell ref="Q17:Q18"/>
    <mergeCell ref="P17:P18"/>
    <mergeCell ref="O17:O18"/>
    <mergeCell ref="Q15:Q16"/>
    <mergeCell ref="P15:P16"/>
    <mergeCell ref="O15:O16"/>
    <mergeCell ref="Q12:Q14"/>
    <mergeCell ref="P12:P14"/>
    <mergeCell ref="O12:O14"/>
    <mergeCell ref="Q5:Q6"/>
    <mergeCell ref="P5:P6"/>
    <mergeCell ref="O5:O6"/>
    <mergeCell ref="A1:Q2"/>
    <mergeCell ref="Q10:Q11"/>
    <mergeCell ref="P10:P11"/>
    <mergeCell ref="O10:O11"/>
    <mergeCell ref="Q7:Q9"/>
    <mergeCell ref="P7:P9"/>
    <mergeCell ref="O7:O9"/>
  </mergeCells>
  <conditionalFormatting sqref="C24">
    <cfRule type="cellIs" dxfId="45" priority="1" operator="lessThan">
      <formula>29</formula>
    </cfRule>
    <cfRule type="cellIs" dxfId="44" priority="2" operator="greaterThan">
      <formula>38</formula>
    </cfRule>
    <cfRule type="cellIs" dxfId="43" priority="3" operator="lessThan">
      <formula>38</formula>
    </cfRule>
    <cfRule type="cellIs" dxfId="42" priority="4" operator="lessThan">
      <formula>38</formula>
    </cfRule>
    <cfRule type="cellIs" dxfId="41" priority="5" operator="greaterThan">
      <formula>40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V39"/>
  <sheetViews>
    <sheetView topLeftCell="J1" zoomScaleNormal="100" workbookViewId="0">
      <selection activeCell="T4" sqref="T4:V11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22.140625" style="2" bestFit="1" customWidth="1"/>
    <col min="10" max="10" width="7.42578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9" width="11.42578125" style="2"/>
    <col min="20" max="20" width="17.42578125" style="2" bestFit="1" customWidth="1"/>
    <col min="21" max="21" width="12.28515625" style="2" bestFit="1" customWidth="1"/>
    <col min="22" max="16384" width="11.42578125" style="2"/>
  </cols>
  <sheetData>
    <row r="1" spans="1:22" x14ac:dyDescent="0.25">
      <c r="A1" s="627" t="s">
        <v>354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22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22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22" ht="25.5" customHeight="1" x14ac:dyDescent="0.25">
      <c r="A4" s="10">
        <v>44470</v>
      </c>
      <c r="B4" s="11">
        <v>3028394</v>
      </c>
      <c r="C4" s="11" t="s">
        <v>50</v>
      </c>
      <c r="D4" s="66">
        <v>108218.65</v>
      </c>
      <c r="E4" s="11" t="s">
        <v>51</v>
      </c>
      <c r="F4" s="11" t="s">
        <v>46</v>
      </c>
      <c r="G4" s="11" t="s">
        <v>126</v>
      </c>
      <c r="H4" s="11" t="s">
        <v>97</v>
      </c>
      <c r="I4" s="11" t="s">
        <v>248</v>
      </c>
      <c r="J4" s="11" t="s">
        <v>269</v>
      </c>
      <c r="K4" s="11" t="s">
        <v>270</v>
      </c>
      <c r="L4" s="11">
        <v>671</v>
      </c>
      <c r="M4" s="11">
        <v>28460</v>
      </c>
      <c r="N4" s="11" t="s">
        <v>38</v>
      </c>
      <c r="O4" s="637">
        <v>33223.125549999997</v>
      </c>
      <c r="P4" s="658">
        <f>O4/D4*100</f>
        <v>30.7</v>
      </c>
      <c r="Q4" s="630">
        <f>D4/(L4+L5)</f>
        <v>80.639828614008934</v>
      </c>
      <c r="T4" s="395"/>
      <c r="U4" s="396"/>
      <c r="V4" s="397"/>
    </row>
    <row r="5" spans="1:22" ht="25.5" customHeight="1" x14ac:dyDescent="0.25">
      <c r="A5" s="10">
        <v>44474</v>
      </c>
      <c r="B5" s="11">
        <v>2816378</v>
      </c>
      <c r="C5" s="11" t="s">
        <v>9</v>
      </c>
      <c r="D5" s="66">
        <v>0</v>
      </c>
      <c r="E5" s="11"/>
      <c r="F5" s="11" t="s">
        <v>126</v>
      </c>
      <c r="G5" s="11" t="s">
        <v>46</v>
      </c>
      <c r="H5" s="11" t="s">
        <v>97</v>
      </c>
      <c r="I5" s="11" t="s">
        <v>248</v>
      </c>
      <c r="J5" s="11" t="s">
        <v>269</v>
      </c>
      <c r="K5" s="11" t="s">
        <v>270</v>
      </c>
      <c r="L5" s="11">
        <v>671</v>
      </c>
      <c r="M5" s="11">
        <v>0</v>
      </c>
      <c r="N5" s="11" t="s">
        <v>10</v>
      </c>
      <c r="O5" s="638"/>
      <c r="P5" s="659"/>
      <c r="Q5" s="630"/>
      <c r="T5" s="395"/>
      <c r="U5" s="396"/>
      <c r="V5" s="397"/>
    </row>
    <row r="6" spans="1:22" ht="25.5" customHeight="1" x14ac:dyDescent="0.25">
      <c r="A6" s="16">
        <v>44475</v>
      </c>
      <c r="B6" s="17">
        <v>3030169</v>
      </c>
      <c r="C6" s="17" t="s">
        <v>50</v>
      </c>
      <c r="D6" s="70">
        <v>83085.570000000007</v>
      </c>
      <c r="E6" s="17" t="s">
        <v>51</v>
      </c>
      <c r="F6" s="17" t="s">
        <v>46</v>
      </c>
      <c r="G6" s="17" t="s">
        <v>78</v>
      </c>
      <c r="H6" s="17" t="s">
        <v>97</v>
      </c>
      <c r="I6" s="17" t="s">
        <v>248</v>
      </c>
      <c r="J6" s="17" t="s">
        <v>269</v>
      </c>
      <c r="K6" s="17" t="s">
        <v>270</v>
      </c>
      <c r="L6" s="17">
        <v>508</v>
      </c>
      <c r="M6" s="17">
        <v>26060</v>
      </c>
      <c r="N6" s="17" t="s">
        <v>38</v>
      </c>
      <c r="O6" s="644">
        <v>25507.269990000001</v>
      </c>
      <c r="P6" s="663">
        <f>O6/D6*100</f>
        <v>30.7</v>
      </c>
      <c r="Q6" s="628">
        <f>D6/(L6+L7)</f>
        <v>81.777135826771655</v>
      </c>
      <c r="T6" s="395"/>
      <c r="U6" s="396"/>
      <c r="V6" s="397"/>
    </row>
    <row r="7" spans="1:22" ht="25.5" customHeight="1" x14ac:dyDescent="0.25">
      <c r="A7" s="16">
        <v>44476</v>
      </c>
      <c r="B7" s="17">
        <v>2816379</v>
      </c>
      <c r="C7" s="17" t="s">
        <v>9</v>
      </c>
      <c r="D7" s="70">
        <v>0</v>
      </c>
      <c r="E7" s="17"/>
      <c r="F7" s="17" t="s">
        <v>78</v>
      </c>
      <c r="G7" s="17" t="s">
        <v>46</v>
      </c>
      <c r="H7" s="17" t="s">
        <v>97</v>
      </c>
      <c r="I7" s="17" t="s">
        <v>248</v>
      </c>
      <c r="J7" s="17" t="s">
        <v>269</v>
      </c>
      <c r="K7" s="17" t="s">
        <v>270</v>
      </c>
      <c r="L7" s="17">
        <v>508</v>
      </c>
      <c r="M7" s="17">
        <v>0</v>
      </c>
      <c r="N7" s="17" t="s">
        <v>10</v>
      </c>
      <c r="O7" s="645"/>
      <c r="P7" s="664"/>
      <c r="Q7" s="628"/>
      <c r="T7" s="407"/>
      <c r="U7" s="408"/>
      <c r="V7" s="409"/>
    </row>
    <row r="8" spans="1:22" ht="25.5" customHeight="1" x14ac:dyDescent="0.25">
      <c r="A8" s="12">
        <v>44477</v>
      </c>
      <c r="B8" s="13">
        <v>3031714</v>
      </c>
      <c r="C8" s="13" t="s">
        <v>50</v>
      </c>
      <c r="D8" s="68">
        <v>77146.47</v>
      </c>
      <c r="E8" s="13" t="s">
        <v>68</v>
      </c>
      <c r="F8" s="13" t="s">
        <v>46</v>
      </c>
      <c r="G8" s="13" t="s">
        <v>52</v>
      </c>
      <c r="H8" s="13" t="s">
        <v>97</v>
      </c>
      <c r="I8" s="13" t="s">
        <v>248</v>
      </c>
      <c r="J8" s="13" t="s">
        <v>269</v>
      </c>
      <c r="K8" s="13" t="s">
        <v>270</v>
      </c>
      <c r="L8" s="13">
        <v>450</v>
      </c>
      <c r="M8" s="13">
        <v>27500</v>
      </c>
      <c r="N8" s="13" t="s">
        <v>38</v>
      </c>
      <c r="O8" s="640">
        <v>95609.654999999999</v>
      </c>
      <c r="P8" s="660">
        <f>O8/(D8+D10+D12)*100</f>
        <v>30.700000096329177</v>
      </c>
      <c r="Q8" s="634">
        <f>(D8+D10+D12)/(L8+L9+L10+L11+L12)</f>
        <v>84.398943089430901</v>
      </c>
      <c r="T8" s="395"/>
      <c r="U8" s="396"/>
      <c r="V8" s="397"/>
    </row>
    <row r="9" spans="1:22" ht="25.5" customHeight="1" x14ac:dyDescent="0.25">
      <c r="A9" s="12">
        <v>44481</v>
      </c>
      <c r="B9" s="13">
        <v>2816524</v>
      </c>
      <c r="C9" s="13" t="s">
        <v>9</v>
      </c>
      <c r="D9" s="68">
        <v>0</v>
      </c>
      <c r="E9" s="13"/>
      <c r="F9" s="13" t="s">
        <v>52</v>
      </c>
      <c r="G9" s="13" t="s">
        <v>74</v>
      </c>
      <c r="H9" s="13" t="s">
        <v>97</v>
      </c>
      <c r="I9" s="13" t="s">
        <v>248</v>
      </c>
      <c r="J9" s="13" t="s">
        <v>269</v>
      </c>
      <c r="K9" s="13" t="s">
        <v>270</v>
      </c>
      <c r="L9" s="13">
        <v>930</v>
      </c>
      <c r="M9" s="13">
        <v>0</v>
      </c>
      <c r="N9" s="13" t="s">
        <v>10</v>
      </c>
      <c r="O9" s="641"/>
      <c r="P9" s="661"/>
      <c r="Q9" s="634"/>
      <c r="T9" s="395"/>
      <c r="U9" s="396"/>
      <c r="V9" s="397"/>
    </row>
    <row r="10" spans="1:22" ht="25.5" customHeight="1" x14ac:dyDescent="0.25">
      <c r="A10" s="12">
        <v>44482</v>
      </c>
      <c r="B10" s="13">
        <v>3033119</v>
      </c>
      <c r="C10" s="13" t="s">
        <v>50</v>
      </c>
      <c r="D10" s="68">
        <v>122626.17</v>
      </c>
      <c r="E10" s="13" t="s">
        <v>95</v>
      </c>
      <c r="F10" s="13" t="s">
        <v>74</v>
      </c>
      <c r="G10" s="13" t="s">
        <v>96</v>
      </c>
      <c r="H10" s="13" t="s">
        <v>97</v>
      </c>
      <c r="I10" s="13" t="s">
        <v>248</v>
      </c>
      <c r="J10" s="13" t="s">
        <v>269</v>
      </c>
      <c r="K10" s="13" t="s">
        <v>270</v>
      </c>
      <c r="L10" s="13">
        <v>805</v>
      </c>
      <c r="M10" s="13">
        <v>28840</v>
      </c>
      <c r="N10" s="13" t="s">
        <v>38</v>
      </c>
      <c r="O10" s="641"/>
      <c r="P10" s="661"/>
      <c r="Q10" s="634"/>
      <c r="T10" s="395"/>
      <c r="U10" s="396"/>
      <c r="V10" s="397"/>
    </row>
    <row r="11" spans="1:22" ht="25.5" customHeight="1" x14ac:dyDescent="0.25">
      <c r="A11" s="12">
        <v>44485</v>
      </c>
      <c r="B11" s="13">
        <v>2816523</v>
      </c>
      <c r="C11" s="13" t="s">
        <v>9</v>
      </c>
      <c r="D11" s="68">
        <v>0</v>
      </c>
      <c r="E11" s="13"/>
      <c r="F11" s="13" t="s">
        <v>96</v>
      </c>
      <c r="G11" s="13" t="s">
        <v>74</v>
      </c>
      <c r="H11" s="13" t="s">
        <v>97</v>
      </c>
      <c r="I11" s="13" t="s">
        <v>248</v>
      </c>
      <c r="J11" s="13" t="s">
        <v>269</v>
      </c>
      <c r="K11" s="13" t="s">
        <v>270</v>
      </c>
      <c r="L11" s="13">
        <v>805</v>
      </c>
      <c r="M11" s="13">
        <v>0</v>
      </c>
      <c r="N11" s="13" t="s">
        <v>10</v>
      </c>
      <c r="O11" s="641"/>
      <c r="P11" s="661"/>
      <c r="Q11" s="634"/>
      <c r="T11" s="398"/>
      <c r="U11" s="399"/>
      <c r="V11" s="400"/>
    </row>
    <row r="12" spans="1:22" ht="25.5" customHeight="1" x14ac:dyDescent="0.25">
      <c r="A12" s="12">
        <v>44487</v>
      </c>
      <c r="B12" s="13">
        <v>3035002</v>
      </c>
      <c r="C12" s="13" t="s">
        <v>50</v>
      </c>
      <c r="D12" s="68">
        <v>111659.46</v>
      </c>
      <c r="E12" s="13" t="s">
        <v>95</v>
      </c>
      <c r="F12" s="13" t="s">
        <v>74</v>
      </c>
      <c r="G12" s="13" t="s">
        <v>46</v>
      </c>
      <c r="H12" s="13" t="s">
        <v>97</v>
      </c>
      <c r="I12" s="13" t="s">
        <v>248</v>
      </c>
      <c r="J12" s="13" t="s">
        <v>269</v>
      </c>
      <c r="K12" s="13" t="s">
        <v>270</v>
      </c>
      <c r="L12" s="13">
        <v>700</v>
      </c>
      <c r="M12" s="13">
        <v>28500</v>
      </c>
      <c r="N12" s="13" t="s">
        <v>38</v>
      </c>
      <c r="O12" s="642"/>
      <c r="P12" s="662"/>
      <c r="Q12" s="634"/>
    </row>
    <row r="13" spans="1:22" ht="25.5" customHeight="1" x14ac:dyDescent="0.25">
      <c r="A13" s="14">
        <v>44488</v>
      </c>
      <c r="B13" s="15">
        <v>3036228</v>
      </c>
      <c r="C13" s="15" t="s">
        <v>50</v>
      </c>
      <c r="D13" s="67">
        <v>77146.47</v>
      </c>
      <c r="E13" s="15" t="s">
        <v>68</v>
      </c>
      <c r="F13" s="15" t="s">
        <v>46</v>
      </c>
      <c r="G13" s="15" t="s">
        <v>52</v>
      </c>
      <c r="H13" s="15" t="s">
        <v>97</v>
      </c>
      <c r="I13" s="15" t="s">
        <v>248</v>
      </c>
      <c r="J13" s="15" t="s">
        <v>269</v>
      </c>
      <c r="K13" s="15" t="s">
        <v>270</v>
      </c>
      <c r="L13" s="15">
        <v>450</v>
      </c>
      <c r="M13" s="15">
        <v>27600</v>
      </c>
      <c r="N13" s="15" t="s">
        <v>38</v>
      </c>
      <c r="O13" s="647">
        <v>23683.96629</v>
      </c>
      <c r="P13" s="665">
        <f>O13/D13*100</f>
        <v>30.7</v>
      </c>
      <c r="Q13" s="632">
        <f>D13/(L13+L14)</f>
        <v>85.718299999999999</v>
      </c>
    </row>
    <row r="14" spans="1:22" ht="25.5" customHeight="1" x14ac:dyDescent="0.25">
      <c r="A14" s="14">
        <v>44489</v>
      </c>
      <c r="B14" s="15">
        <v>2816577</v>
      </c>
      <c r="C14" s="15" t="s">
        <v>9</v>
      </c>
      <c r="D14" s="67">
        <v>0</v>
      </c>
      <c r="E14" s="15"/>
      <c r="F14" s="15" t="s">
        <v>52</v>
      </c>
      <c r="G14" s="15" t="s">
        <v>46</v>
      </c>
      <c r="H14" s="15" t="s">
        <v>97</v>
      </c>
      <c r="I14" s="15" t="s">
        <v>248</v>
      </c>
      <c r="J14" s="15" t="s">
        <v>269</v>
      </c>
      <c r="K14" s="15" t="s">
        <v>270</v>
      </c>
      <c r="L14" s="15">
        <v>450</v>
      </c>
      <c r="M14" s="15">
        <v>0</v>
      </c>
      <c r="N14" s="15" t="s">
        <v>10</v>
      </c>
      <c r="O14" s="648"/>
      <c r="P14" s="666"/>
      <c r="Q14" s="632"/>
    </row>
    <row r="15" spans="1:22" ht="25.5" customHeight="1" x14ac:dyDescent="0.25">
      <c r="A15" s="10">
        <v>44490</v>
      </c>
      <c r="B15" s="11">
        <v>3037650</v>
      </c>
      <c r="C15" s="11" t="s">
        <v>50</v>
      </c>
      <c r="D15" s="66">
        <v>80516.570000000007</v>
      </c>
      <c r="E15" s="11" t="s">
        <v>68</v>
      </c>
      <c r="F15" s="11" t="s">
        <v>46</v>
      </c>
      <c r="G15" s="11" t="s">
        <v>255</v>
      </c>
      <c r="H15" s="11" t="s">
        <v>97</v>
      </c>
      <c r="I15" s="11" t="s">
        <v>248</v>
      </c>
      <c r="J15" s="11" t="s">
        <v>269</v>
      </c>
      <c r="K15" s="11" t="s">
        <v>270</v>
      </c>
      <c r="L15" s="11">
        <v>470</v>
      </c>
      <c r="M15" s="11">
        <v>28840</v>
      </c>
      <c r="N15" s="11" t="s">
        <v>38</v>
      </c>
      <c r="O15" s="637">
        <v>24718.58699</v>
      </c>
      <c r="P15" s="658">
        <f>O15/D15*100</f>
        <v>30.7</v>
      </c>
      <c r="Q15" s="630">
        <f>D15/(L15+L16)</f>
        <v>85.655925531914903</v>
      </c>
    </row>
    <row r="16" spans="1:22" ht="25.5" customHeight="1" x14ac:dyDescent="0.25">
      <c r="A16" s="10">
        <v>44491</v>
      </c>
      <c r="B16" s="11">
        <v>2816578</v>
      </c>
      <c r="C16" s="11" t="s">
        <v>9</v>
      </c>
      <c r="D16" s="66">
        <v>0</v>
      </c>
      <c r="E16" s="11"/>
      <c r="F16" s="11" t="s">
        <v>255</v>
      </c>
      <c r="G16" s="11" t="s">
        <v>46</v>
      </c>
      <c r="H16" s="11" t="s">
        <v>97</v>
      </c>
      <c r="I16" s="11" t="s">
        <v>248</v>
      </c>
      <c r="J16" s="11" t="s">
        <v>269</v>
      </c>
      <c r="K16" s="11" t="s">
        <v>270</v>
      </c>
      <c r="L16" s="11">
        <v>470</v>
      </c>
      <c r="M16" s="11">
        <v>0</v>
      </c>
      <c r="N16" s="11" t="s">
        <v>10</v>
      </c>
      <c r="O16" s="638"/>
      <c r="P16" s="659"/>
      <c r="Q16" s="630"/>
    </row>
    <row r="17" spans="1:17" ht="25.5" customHeight="1" x14ac:dyDescent="0.25">
      <c r="A17" s="16">
        <v>44492</v>
      </c>
      <c r="B17" s="17">
        <v>3038973</v>
      </c>
      <c r="C17" s="17" t="s">
        <v>50</v>
      </c>
      <c r="D17" s="70">
        <v>109661.56</v>
      </c>
      <c r="E17" s="17" t="s">
        <v>68</v>
      </c>
      <c r="F17" s="17" t="s">
        <v>46</v>
      </c>
      <c r="G17" s="17" t="s">
        <v>126</v>
      </c>
      <c r="H17" s="17" t="s">
        <v>97</v>
      </c>
      <c r="I17" s="17" t="s">
        <v>248</v>
      </c>
      <c r="J17" s="17" t="s">
        <v>269</v>
      </c>
      <c r="K17" s="17" t="s">
        <v>270</v>
      </c>
      <c r="L17" s="17">
        <v>671</v>
      </c>
      <c r="M17" s="17">
        <v>29000</v>
      </c>
      <c r="N17" s="17" t="s">
        <v>38</v>
      </c>
      <c r="O17" s="644">
        <v>33666.098919999997</v>
      </c>
      <c r="P17" s="663">
        <f>O17/D17*100</f>
        <v>30.7</v>
      </c>
      <c r="Q17" s="628">
        <f>D17/(L17+L18)</f>
        <v>81.715022354694483</v>
      </c>
    </row>
    <row r="18" spans="1:17" ht="25.5" customHeight="1" x14ac:dyDescent="0.25">
      <c r="A18" s="16">
        <v>44494</v>
      </c>
      <c r="B18" s="17">
        <v>2816603</v>
      </c>
      <c r="C18" s="17" t="s">
        <v>9</v>
      </c>
      <c r="D18" s="70">
        <v>0</v>
      </c>
      <c r="E18" s="17"/>
      <c r="F18" s="17" t="s">
        <v>126</v>
      </c>
      <c r="G18" s="17" t="s">
        <v>46</v>
      </c>
      <c r="H18" s="17" t="s">
        <v>97</v>
      </c>
      <c r="I18" s="17" t="s">
        <v>248</v>
      </c>
      <c r="J18" s="17" t="s">
        <v>269</v>
      </c>
      <c r="K18" s="17" t="s">
        <v>270</v>
      </c>
      <c r="L18" s="17">
        <v>671</v>
      </c>
      <c r="M18" s="17">
        <v>0</v>
      </c>
      <c r="N18" s="17" t="s">
        <v>10</v>
      </c>
      <c r="O18" s="645"/>
      <c r="P18" s="664"/>
      <c r="Q18" s="628"/>
    </row>
    <row r="19" spans="1:17" ht="25.5" customHeight="1" x14ac:dyDescent="0.25">
      <c r="A19" s="12">
        <v>44495</v>
      </c>
      <c r="B19" s="13">
        <v>3039909</v>
      </c>
      <c r="C19" s="13" t="s">
        <v>50</v>
      </c>
      <c r="D19" s="68">
        <v>20986.89</v>
      </c>
      <c r="E19" s="13" t="s">
        <v>68</v>
      </c>
      <c r="F19" s="13" t="s">
        <v>46</v>
      </c>
      <c r="G19" s="13" t="s">
        <v>81</v>
      </c>
      <c r="H19" s="13" t="s">
        <v>97</v>
      </c>
      <c r="I19" s="13" t="s">
        <v>248</v>
      </c>
      <c r="J19" s="13" t="s">
        <v>269</v>
      </c>
      <c r="K19" s="13" t="s">
        <v>270</v>
      </c>
      <c r="L19" s="13">
        <v>120</v>
      </c>
      <c r="M19" s="13">
        <v>28840</v>
      </c>
      <c r="N19" s="13" t="s">
        <v>38</v>
      </c>
      <c r="O19" s="640">
        <v>6442.97523</v>
      </c>
      <c r="P19" s="660">
        <f>O19/D19*100</f>
        <v>30.7</v>
      </c>
      <c r="Q19" s="634">
        <f>D19/(L19+L20)</f>
        <v>87.445374999999999</v>
      </c>
    </row>
    <row r="20" spans="1:17" ht="25.5" customHeight="1" x14ac:dyDescent="0.25">
      <c r="A20" s="12">
        <v>44496</v>
      </c>
      <c r="B20" s="13">
        <v>2816615</v>
      </c>
      <c r="C20" s="13" t="s">
        <v>9</v>
      </c>
      <c r="D20" s="68">
        <v>0</v>
      </c>
      <c r="E20" s="13"/>
      <c r="F20" s="13" t="s">
        <v>81</v>
      </c>
      <c r="G20" s="13" t="s">
        <v>46</v>
      </c>
      <c r="H20" s="13" t="s">
        <v>97</v>
      </c>
      <c r="I20" s="13" t="s">
        <v>248</v>
      </c>
      <c r="J20" s="13" t="s">
        <v>269</v>
      </c>
      <c r="K20" s="13" t="s">
        <v>183</v>
      </c>
      <c r="L20" s="13">
        <v>120</v>
      </c>
      <c r="M20" s="13">
        <v>0</v>
      </c>
      <c r="N20" s="13" t="s">
        <v>10</v>
      </c>
      <c r="O20" s="642"/>
      <c r="P20" s="662"/>
      <c r="Q20" s="634"/>
    </row>
    <row r="21" spans="1:17" ht="25.5" customHeight="1" x14ac:dyDescent="0.25">
      <c r="A21" s="6">
        <v>44499</v>
      </c>
      <c r="B21" s="7">
        <v>2816662</v>
      </c>
      <c r="C21" s="7" t="s">
        <v>9</v>
      </c>
      <c r="D21" s="8">
        <v>0</v>
      </c>
      <c r="E21" s="7"/>
      <c r="F21" s="7" t="s">
        <v>46</v>
      </c>
      <c r="G21" s="7" t="s">
        <v>271</v>
      </c>
      <c r="H21" s="7" t="s">
        <v>97</v>
      </c>
      <c r="I21" s="7" t="s">
        <v>248</v>
      </c>
      <c r="J21" s="7" t="s">
        <v>269</v>
      </c>
      <c r="K21" s="7" t="s">
        <v>183</v>
      </c>
      <c r="L21" s="7">
        <v>120</v>
      </c>
      <c r="M21" s="7">
        <v>0</v>
      </c>
      <c r="N21" s="7" t="s">
        <v>10</v>
      </c>
      <c r="O21" s="8">
        <v>0</v>
      </c>
      <c r="P21" s="88">
        <v>0</v>
      </c>
      <c r="Q21" s="24">
        <v>0</v>
      </c>
    </row>
    <row r="22" spans="1:17" x14ac:dyDescent="0.25">
      <c r="A22" s="9"/>
      <c r="B22" s="9"/>
      <c r="C22" s="9"/>
      <c r="D22" s="18">
        <f>SUM(D4:D21)</f>
        <v>791047.81000000017</v>
      </c>
      <c r="E22" s="9"/>
      <c r="F22" s="9"/>
      <c r="G22" s="9"/>
      <c r="H22" s="9"/>
      <c r="I22" s="9"/>
      <c r="J22" s="9"/>
      <c r="K22" s="9"/>
      <c r="L22" s="9">
        <f>SUM(L4:L21)</f>
        <v>9590</v>
      </c>
      <c r="M22" s="9"/>
      <c r="N22" s="9"/>
      <c r="O22" s="24">
        <f>SUM(O4:O21)</f>
        <v>242851.67797000002</v>
      </c>
      <c r="P22" s="64">
        <f>O22/D22*100</f>
        <v>30.700000037924379</v>
      </c>
      <c r="Q22" s="26">
        <f>D22/L22</f>
        <v>82.486737226277384</v>
      </c>
    </row>
    <row r="24" spans="1:17" ht="15" customHeight="1" x14ac:dyDescent="0.25">
      <c r="A24" s="36" t="s">
        <v>322</v>
      </c>
      <c r="B24" s="36" t="s">
        <v>323</v>
      </c>
      <c r="C24" s="36" t="s">
        <v>324</v>
      </c>
      <c r="D24" s="36" t="s">
        <v>325</v>
      </c>
      <c r="F24" s="37" t="s">
        <v>326</v>
      </c>
      <c r="G24" s="37" t="s">
        <v>327</v>
      </c>
      <c r="H24" s="37" t="s">
        <v>328</v>
      </c>
      <c r="I24" s="38"/>
    </row>
    <row r="25" spans="1:17" x14ac:dyDescent="0.25">
      <c r="A25" s="39">
        <f>D22/L22</f>
        <v>82.486737226277384</v>
      </c>
      <c r="B25" s="40">
        <f>COMBUSTIBLE!C154</f>
        <v>3343.69</v>
      </c>
      <c r="C25" s="41">
        <f>B25/L22*100</f>
        <v>34.866423357664232</v>
      </c>
      <c r="D25" s="42">
        <f>B31/B25</f>
        <v>68.428028822651797</v>
      </c>
      <c r="F25" s="43">
        <f>+B31/D22</f>
        <v>0.28923930109105866</v>
      </c>
      <c r="G25" s="43">
        <f>B36/D22</f>
        <v>0.36396954608637022</v>
      </c>
      <c r="H25" s="44"/>
      <c r="I25" s="38"/>
    </row>
    <row r="26" spans="1:17" x14ac:dyDescent="0.25">
      <c r="C26" s="2" t="s">
        <v>1227</v>
      </c>
      <c r="F26" s="38"/>
      <c r="G26" s="38"/>
      <c r="H26" s="38"/>
      <c r="I26" s="38"/>
    </row>
    <row r="27" spans="1:17" x14ac:dyDescent="0.25">
      <c r="A27" s="36"/>
      <c r="B27" s="36" t="s">
        <v>329</v>
      </c>
      <c r="C27" s="36" t="s">
        <v>330</v>
      </c>
      <c r="D27" s="36" t="s">
        <v>270</v>
      </c>
      <c r="K27" s="25"/>
      <c r="L27" s="29"/>
      <c r="M27" s="25"/>
      <c r="O27" s="2"/>
      <c r="P27" s="2"/>
      <c r="Q27" s="2"/>
    </row>
    <row r="28" spans="1:17" x14ac:dyDescent="0.25">
      <c r="A28" s="7" t="s">
        <v>331</v>
      </c>
      <c r="B28" s="24">
        <f>D22</f>
        <v>791047.81000000017</v>
      </c>
      <c r="C28" s="45">
        <f>B29</f>
        <v>242851.67797000002</v>
      </c>
      <c r="D28" s="46">
        <f>C28/B28</f>
        <v>0.3070000003792438</v>
      </c>
      <c r="K28" s="25"/>
      <c r="L28" s="29"/>
      <c r="M28" s="25"/>
      <c r="O28" s="2"/>
      <c r="P28" s="2"/>
      <c r="Q28" s="2"/>
    </row>
    <row r="29" spans="1:17" x14ac:dyDescent="0.25">
      <c r="A29" s="47" t="s">
        <v>27</v>
      </c>
      <c r="B29" s="24">
        <f>O22</f>
        <v>242851.67797000002</v>
      </c>
      <c r="C29" s="9"/>
    </row>
    <row r="30" spans="1:17" x14ac:dyDescent="0.25">
      <c r="A30" s="48" t="s">
        <v>332</v>
      </c>
      <c r="B30" s="49">
        <f>(6*(78578.313+12454.55))/(150000+80000)*L22</f>
        <v>22774.047552260869</v>
      </c>
      <c r="C30" s="49">
        <f>(12*(78578.313+12454.55))/(150000+80000)*L22</f>
        <v>45548.095104521737</v>
      </c>
    </row>
    <row r="31" spans="1:17" x14ac:dyDescent="0.25">
      <c r="A31" s="48" t="s">
        <v>333</v>
      </c>
      <c r="B31" s="24">
        <f>COMBUSTIBLE!J154</f>
        <v>228802.11569401261</v>
      </c>
      <c r="C31" s="9"/>
    </row>
    <row r="32" spans="1:17" x14ac:dyDescent="0.25">
      <c r="A32" s="48" t="s">
        <v>334</v>
      </c>
      <c r="B32" s="24"/>
      <c r="C32" s="9"/>
    </row>
    <row r="33" spans="1:4" x14ac:dyDescent="0.25">
      <c r="A33" s="48" t="s">
        <v>335</v>
      </c>
      <c r="B33" s="24">
        <f>'PATENTE PROVINCIAL'!N57</f>
        <v>1478.1</v>
      </c>
      <c r="C33" s="42"/>
    </row>
    <row r="34" spans="1:4" x14ac:dyDescent="0.25">
      <c r="A34" s="48" t="s">
        <v>336</v>
      </c>
      <c r="B34" s="24">
        <f>'PATENTE MUNICIPAL'!I64</f>
        <v>20.833333333333332</v>
      </c>
      <c r="C34" s="42">
        <f>'PATENTE MUNICIPAL'!I31</f>
        <v>20.833333333333332</v>
      </c>
    </row>
    <row r="35" spans="1:4" x14ac:dyDescent="0.25">
      <c r="A35" s="48" t="s">
        <v>337</v>
      </c>
      <c r="B35" s="24">
        <f>SEGURO!K68</f>
        <v>1236.5432093611639</v>
      </c>
      <c r="C35" s="42">
        <f>SEGURO!K35</f>
        <v>261.09831688804553</v>
      </c>
    </row>
    <row r="36" spans="1:4" x14ac:dyDescent="0.25">
      <c r="A36" s="48" t="s">
        <v>338</v>
      </c>
      <c r="B36" s="24">
        <f>L22*SUELDOS!Z4</f>
        <v>287917.31233831728</v>
      </c>
      <c r="C36" s="42"/>
      <c r="D36" s="50">
        <f>B36/L22</f>
        <v>30.022660306393878</v>
      </c>
    </row>
    <row r="37" spans="1:4" x14ac:dyDescent="0.25">
      <c r="A37" s="48" t="s">
        <v>339</v>
      </c>
      <c r="B37" s="24">
        <f>'GASTOS TRACTOR'!H320</f>
        <v>44149.504497000002</v>
      </c>
      <c r="C37" s="42">
        <f>'GASTOS SEMI'!H62</f>
        <v>19754.550000000003</v>
      </c>
    </row>
    <row r="38" spans="1:4" x14ac:dyDescent="0.25">
      <c r="A38" s="48" t="s">
        <v>340</v>
      </c>
      <c r="B38" s="24">
        <f>SUM(B30:B37)</f>
        <v>586378.45662428532</v>
      </c>
      <c r="C38" s="51">
        <f>SUM(C30:C37)</f>
        <v>65584.576754743117</v>
      </c>
    </row>
    <row r="39" spans="1:4" x14ac:dyDescent="0.25">
      <c r="A39" s="36" t="s">
        <v>341</v>
      </c>
      <c r="B39" s="52">
        <f>B28-B29-B38</f>
        <v>-38182.324594285106</v>
      </c>
      <c r="C39" s="53">
        <f>C28-C29-C38</f>
        <v>177267.1012152569</v>
      </c>
      <c r="D39" s="52">
        <f>+B39+C39</f>
        <v>139084.7766209718</v>
      </c>
    </row>
  </sheetData>
  <sortState xmlns:xlrd2="http://schemas.microsoft.com/office/spreadsheetml/2017/richdata2" ref="A2:P20">
    <sortCondition ref="A1"/>
  </sortState>
  <mergeCells count="22">
    <mergeCell ref="Q19:Q20"/>
    <mergeCell ref="P19:P20"/>
    <mergeCell ref="O19:O20"/>
    <mergeCell ref="Q17:Q18"/>
    <mergeCell ref="P17:P18"/>
    <mergeCell ref="O17:O18"/>
    <mergeCell ref="Q15:Q16"/>
    <mergeCell ref="P15:P16"/>
    <mergeCell ref="O15:O16"/>
    <mergeCell ref="Q13:Q14"/>
    <mergeCell ref="P13:P14"/>
    <mergeCell ref="O13:O14"/>
    <mergeCell ref="Q4:Q5"/>
    <mergeCell ref="P4:P5"/>
    <mergeCell ref="O4:O5"/>
    <mergeCell ref="A1:Q2"/>
    <mergeCell ref="Q8:Q12"/>
    <mergeCell ref="P8:P12"/>
    <mergeCell ref="O8:O12"/>
    <mergeCell ref="Q6:Q7"/>
    <mergeCell ref="P6:P7"/>
    <mergeCell ref="O6:O7"/>
  </mergeCells>
  <conditionalFormatting sqref="C25">
    <cfRule type="cellIs" dxfId="40" priority="1" operator="lessThan">
      <formula>29</formula>
    </cfRule>
    <cfRule type="cellIs" dxfId="39" priority="2" operator="greaterThan">
      <formula>38</formula>
    </cfRule>
    <cfRule type="cellIs" dxfId="38" priority="3" operator="lessThan">
      <formula>38</formula>
    </cfRule>
    <cfRule type="cellIs" dxfId="37" priority="4" operator="lessThan">
      <formula>38</formula>
    </cfRule>
    <cfRule type="cellIs" dxfId="36" priority="5" operator="greaterThan">
      <formula>40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Q26"/>
  <sheetViews>
    <sheetView zoomScaleNormal="100" workbookViewId="0">
      <selection activeCell="A11" sqref="A11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4.42578125" style="2" bestFit="1" customWidth="1"/>
    <col min="5" max="5" width="41" style="2" bestFit="1" customWidth="1"/>
    <col min="6" max="7" width="44.28515625" style="2" bestFit="1" customWidth="1"/>
    <col min="8" max="8" width="20.140625" style="2" bestFit="1" customWidth="1"/>
    <col min="9" max="9" width="23.85546875" style="2" bestFit="1" customWidth="1"/>
    <col min="10" max="10" width="8.42578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7" t="s">
        <v>355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44490</v>
      </c>
      <c r="B4" s="11">
        <v>2010715412</v>
      </c>
      <c r="C4" s="11" t="s">
        <v>0</v>
      </c>
      <c r="D4" s="66">
        <v>125108.71</v>
      </c>
      <c r="E4" s="11" t="s">
        <v>60</v>
      </c>
      <c r="F4" s="11" t="s">
        <v>2</v>
      </c>
      <c r="G4" s="11" t="s">
        <v>3</v>
      </c>
      <c r="H4" s="11" t="s">
        <v>97</v>
      </c>
      <c r="I4" s="11" t="s">
        <v>234</v>
      </c>
      <c r="J4" s="11" t="s">
        <v>282</v>
      </c>
      <c r="K4" s="11" t="s">
        <v>283</v>
      </c>
      <c r="L4" s="11">
        <v>740</v>
      </c>
      <c r="M4" s="11">
        <v>29570</v>
      </c>
      <c r="N4" s="11" t="s">
        <v>8</v>
      </c>
      <c r="O4" s="637">
        <v>38408.373970000001</v>
      </c>
      <c r="P4" s="636">
        <f>O4/D4*100</f>
        <v>30.7</v>
      </c>
      <c r="Q4" s="630">
        <f>D4/(L4+L5)</f>
        <v>84.532912162162162</v>
      </c>
    </row>
    <row r="5" spans="1:17" ht="25.5" customHeight="1" x14ac:dyDescent="0.25">
      <c r="A5" s="10">
        <v>44493</v>
      </c>
      <c r="B5" s="11">
        <v>2816731</v>
      </c>
      <c r="C5" s="11" t="s">
        <v>9</v>
      </c>
      <c r="D5" s="66">
        <v>0</v>
      </c>
      <c r="E5" s="11"/>
      <c r="F5" s="11" t="s">
        <v>3</v>
      </c>
      <c r="G5" s="11" t="s">
        <v>2</v>
      </c>
      <c r="H5" s="11" t="s">
        <v>97</v>
      </c>
      <c r="I5" s="11" t="s">
        <v>234</v>
      </c>
      <c r="J5" s="11" t="s">
        <v>282</v>
      </c>
      <c r="K5" s="11" t="s">
        <v>283</v>
      </c>
      <c r="L5" s="11">
        <v>740</v>
      </c>
      <c r="M5" s="11">
        <v>0</v>
      </c>
      <c r="N5" s="11" t="s">
        <v>10</v>
      </c>
      <c r="O5" s="638"/>
      <c r="P5" s="636"/>
      <c r="Q5" s="630"/>
    </row>
    <row r="6" spans="1:17" ht="25.5" customHeight="1" x14ac:dyDescent="0.25">
      <c r="A6" s="16">
        <v>44495</v>
      </c>
      <c r="B6" s="17">
        <v>2010722048</v>
      </c>
      <c r="C6" s="17" t="s">
        <v>0</v>
      </c>
      <c r="D6" s="70">
        <v>125108.71</v>
      </c>
      <c r="E6" s="17" t="s">
        <v>44</v>
      </c>
      <c r="F6" s="17" t="s">
        <v>2</v>
      </c>
      <c r="G6" s="17" t="s">
        <v>35</v>
      </c>
      <c r="H6" s="17" t="s">
        <v>97</v>
      </c>
      <c r="I6" s="17" t="s">
        <v>234</v>
      </c>
      <c r="J6" s="17" t="s">
        <v>282</v>
      </c>
      <c r="K6" s="17" t="s">
        <v>283</v>
      </c>
      <c r="L6" s="17">
        <v>740</v>
      </c>
      <c r="M6" s="17">
        <v>29860</v>
      </c>
      <c r="N6" s="17" t="s">
        <v>8</v>
      </c>
      <c r="O6" s="644">
        <v>38408.373970000001</v>
      </c>
      <c r="P6" s="643">
        <f>O6/D6*100</f>
        <v>30.7</v>
      </c>
      <c r="Q6" s="628">
        <f>D6/(L6+L7)</f>
        <v>84.532912162162162</v>
      </c>
    </row>
    <row r="7" spans="1:17" ht="25.5" customHeight="1" x14ac:dyDescent="0.25">
      <c r="A7" s="16">
        <v>44497</v>
      </c>
      <c r="B7" s="17">
        <v>2816710</v>
      </c>
      <c r="C7" s="17" t="s">
        <v>9</v>
      </c>
      <c r="D7" s="70">
        <v>0</v>
      </c>
      <c r="E7" s="17"/>
      <c r="F7" s="17" t="s">
        <v>35</v>
      </c>
      <c r="G7" s="17" t="s">
        <v>2</v>
      </c>
      <c r="H7" s="17" t="s">
        <v>97</v>
      </c>
      <c r="I7" s="17" t="s">
        <v>234</v>
      </c>
      <c r="J7" s="17" t="s">
        <v>282</v>
      </c>
      <c r="K7" s="17" t="s">
        <v>283</v>
      </c>
      <c r="L7" s="17">
        <v>740</v>
      </c>
      <c r="M7" s="17">
        <v>0</v>
      </c>
      <c r="N7" s="17" t="s">
        <v>10</v>
      </c>
      <c r="O7" s="645"/>
      <c r="P7" s="643"/>
      <c r="Q7" s="628"/>
    </row>
    <row r="8" spans="1:17" ht="25.5" customHeight="1" x14ac:dyDescent="0.25">
      <c r="A8" s="6">
        <v>44499</v>
      </c>
      <c r="B8" s="7">
        <v>2010721538</v>
      </c>
      <c r="C8" s="7" t="s">
        <v>0</v>
      </c>
      <c r="D8" s="8">
        <v>125108.71</v>
      </c>
      <c r="E8" s="7" t="s">
        <v>11</v>
      </c>
      <c r="F8" s="7" t="s">
        <v>2</v>
      </c>
      <c r="G8" s="7" t="s">
        <v>12</v>
      </c>
      <c r="H8" s="7" t="s">
        <v>97</v>
      </c>
      <c r="I8" s="7" t="s">
        <v>234</v>
      </c>
      <c r="J8" s="7" t="s">
        <v>282</v>
      </c>
      <c r="K8" s="7" t="s">
        <v>283</v>
      </c>
      <c r="L8" s="7">
        <v>740</v>
      </c>
      <c r="M8" s="7">
        <v>29730</v>
      </c>
      <c r="N8" s="7" t="s">
        <v>8</v>
      </c>
      <c r="O8" s="8">
        <v>38408.373970000001</v>
      </c>
      <c r="P8" s="28">
        <f>O8/D8*100</f>
        <v>30.7</v>
      </c>
      <c r="Q8" s="24">
        <f>D8/L8</f>
        <v>169.06582432432432</v>
      </c>
    </row>
    <row r="9" spans="1:17" x14ac:dyDescent="0.25">
      <c r="A9" s="9"/>
      <c r="B9" s="9"/>
      <c r="C9" s="9"/>
      <c r="D9" s="18">
        <f>SUM(D4:D8)</f>
        <v>375326.13</v>
      </c>
      <c r="E9" s="9"/>
      <c r="F9" s="9"/>
      <c r="G9" s="9"/>
      <c r="H9" s="9"/>
      <c r="I9" s="9"/>
      <c r="J9" s="9"/>
      <c r="K9" s="9"/>
      <c r="L9" s="9">
        <f>SUM(L4:L8)</f>
        <v>3700</v>
      </c>
      <c r="M9" s="9"/>
      <c r="N9" s="9"/>
      <c r="O9" s="24">
        <f>SUM(O4:O8)</f>
        <v>115225.12191</v>
      </c>
      <c r="P9" s="28">
        <f>O9/D9*100</f>
        <v>30.7</v>
      </c>
      <c r="Q9" s="26">
        <f>D9/L9</f>
        <v>101.43949459459459</v>
      </c>
    </row>
    <row r="11" spans="1:17" ht="15" customHeight="1" x14ac:dyDescent="0.25">
      <c r="A11" s="36" t="s">
        <v>322</v>
      </c>
      <c r="B11" s="36" t="s">
        <v>323</v>
      </c>
      <c r="C11" s="36" t="s">
        <v>324</v>
      </c>
      <c r="D11" s="36" t="s">
        <v>325</v>
      </c>
      <c r="F11" s="37" t="s">
        <v>326</v>
      </c>
      <c r="G11" s="37" t="s">
        <v>327</v>
      </c>
      <c r="H11" s="37" t="s">
        <v>328</v>
      </c>
      <c r="I11" s="38"/>
    </row>
    <row r="12" spans="1:17" x14ac:dyDescent="0.25">
      <c r="A12" s="39">
        <f>D9/L9</f>
        <v>101.43949459459459</v>
      </c>
      <c r="B12" s="40">
        <f>COMBUSTIBLE!C161</f>
        <v>1543.5671239999999</v>
      </c>
      <c r="C12" s="41">
        <f>B12/L9*100</f>
        <v>41.71803037837838</v>
      </c>
      <c r="D12" s="42">
        <f>B18/B12</f>
        <v>69.68805251576002</v>
      </c>
      <c r="F12" s="43">
        <f>+B18/D9</f>
        <v>0.28659924849600171</v>
      </c>
      <c r="G12" s="43">
        <f>B23/D9</f>
        <v>0.27637021381972687</v>
      </c>
      <c r="H12" s="44"/>
      <c r="I12" s="38"/>
    </row>
    <row r="13" spans="1:17" x14ac:dyDescent="0.25">
      <c r="C13" s="2" t="s">
        <v>1228</v>
      </c>
      <c r="F13" s="38"/>
      <c r="G13" s="38"/>
      <c r="H13" s="38"/>
      <c r="I13" s="38"/>
    </row>
    <row r="14" spans="1:17" x14ac:dyDescent="0.25">
      <c r="A14" s="36"/>
      <c r="B14" s="36" t="s">
        <v>329</v>
      </c>
      <c r="C14" s="36" t="s">
        <v>330</v>
      </c>
      <c r="D14" s="36" t="s">
        <v>283</v>
      </c>
      <c r="K14" s="25"/>
      <c r="L14" s="29"/>
      <c r="M14" s="25"/>
      <c r="O14" s="2"/>
      <c r="P14" s="2"/>
      <c r="Q14" s="2"/>
    </row>
    <row r="15" spans="1:17" x14ac:dyDescent="0.25">
      <c r="A15" s="7" t="s">
        <v>331</v>
      </c>
      <c r="B15" s="24">
        <f>D9</f>
        <v>375326.13</v>
      </c>
      <c r="C15" s="45">
        <f>B16</f>
        <v>115225.12191</v>
      </c>
      <c r="D15" s="46">
        <f>C15/B15</f>
        <v>0.307</v>
      </c>
      <c r="K15" s="25"/>
      <c r="L15" s="29"/>
      <c r="M15" s="25"/>
      <c r="O15" s="2"/>
      <c r="P15" s="2"/>
      <c r="Q15" s="2"/>
    </row>
    <row r="16" spans="1:17" x14ac:dyDescent="0.25">
      <c r="A16" s="47" t="s">
        <v>27</v>
      </c>
      <c r="B16" s="24">
        <f>O9</f>
        <v>115225.12191</v>
      </c>
      <c r="C16" s="9"/>
    </row>
    <row r="17" spans="1:4" x14ac:dyDescent="0.25">
      <c r="A17" s="48" t="s">
        <v>332</v>
      </c>
      <c r="B17" s="49">
        <f>(6*(78578.313+12454.55))/(150000+80000)*L9</f>
        <v>8786.6502547826076</v>
      </c>
      <c r="C17" s="49">
        <f>(12*(78578.313+12454.55))/(150000+80000)*L9</f>
        <v>17573.300509565215</v>
      </c>
    </row>
    <row r="18" spans="1:4" x14ac:dyDescent="0.25">
      <c r="A18" s="48" t="s">
        <v>333</v>
      </c>
      <c r="B18" s="24">
        <f>COMBUSTIBLE!J161</f>
        <v>107568.18679891265</v>
      </c>
      <c r="C18" s="9"/>
    </row>
    <row r="19" spans="1:4" x14ac:dyDescent="0.25">
      <c r="A19" s="48" t="s">
        <v>334</v>
      </c>
      <c r="B19" s="24"/>
      <c r="C19" s="9"/>
    </row>
    <row r="20" spans="1:4" x14ac:dyDescent="0.25">
      <c r="A20" s="48" t="s">
        <v>335</v>
      </c>
      <c r="B20" s="24">
        <f>'PATENTE PROVINCIAL'!N58</f>
        <v>2057.9</v>
      </c>
      <c r="C20" s="42">
        <f>'PATENTE PROVINCIAL'!N62</f>
        <v>672.6</v>
      </c>
    </row>
    <row r="21" spans="1:4" x14ac:dyDescent="0.25">
      <c r="A21" s="48" t="s">
        <v>336</v>
      </c>
      <c r="B21" s="24">
        <f>'PATENTE MUNICIPAL'!I65</f>
        <v>2879.3700000000003</v>
      </c>
      <c r="C21" s="42">
        <f>'PATENTE MUNICIPAL'!I69</f>
        <v>941.09</v>
      </c>
    </row>
    <row r="22" spans="1:4" x14ac:dyDescent="0.25">
      <c r="A22" s="48" t="s">
        <v>337</v>
      </c>
      <c r="B22" s="24">
        <f>SEGURO!K69</f>
        <v>1238.75423086654</v>
      </c>
      <c r="C22" s="42">
        <f>SEGURO!K73</f>
        <v>261.09831688804553</v>
      </c>
    </row>
    <row r="23" spans="1:4" x14ac:dyDescent="0.25">
      <c r="A23" s="48" t="s">
        <v>338</v>
      </c>
      <c r="B23" s="24">
        <f>L9*SUELDOS!U25</f>
        <v>103728.96280023061</v>
      </c>
      <c r="C23" s="42"/>
      <c r="D23" s="50">
        <f>B23/L9</f>
        <v>28.034854810873139</v>
      </c>
    </row>
    <row r="24" spans="1:4" x14ac:dyDescent="0.25">
      <c r="A24" s="48" t="s">
        <v>339</v>
      </c>
      <c r="B24" s="24">
        <f>'GASTOS TRACTOR'!H346</f>
        <v>247737.79124999998</v>
      </c>
      <c r="C24" s="42"/>
    </row>
    <row r="25" spans="1:4" x14ac:dyDescent="0.25">
      <c r="A25" s="48" t="s">
        <v>340</v>
      </c>
      <c r="B25" s="24">
        <f>SUM(B17:B24)</f>
        <v>473997.61533479241</v>
      </c>
      <c r="C25" s="51">
        <f>SUM(C17:C24)</f>
        <v>19448.088826453259</v>
      </c>
    </row>
    <row r="26" spans="1:4" x14ac:dyDescent="0.25">
      <c r="A26" s="36" t="s">
        <v>341</v>
      </c>
      <c r="B26" s="52">
        <f>B15-B16-B25</f>
        <v>-213896.60724479239</v>
      </c>
      <c r="C26" s="53">
        <f>C15-C16-C25</f>
        <v>95777.033083546747</v>
      </c>
      <c r="D26" s="52">
        <f>+B26+C26</f>
        <v>-118119.57416124565</v>
      </c>
    </row>
  </sheetData>
  <sortState xmlns:xlrd2="http://schemas.microsoft.com/office/spreadsheetml/2017/richdata2" ref="A2:P7">
    <sortCondition ref="A1"/>
  </sortState>
  <mergeCells count="7">
    <mergeCell ref="A1:Q2"/>
    <mergeCell ref="Q6:Q7"/>
    <mergeCell ref="P6:P7"/>
    <mergeCell ref="O6:O7"/>
    <mergeCell ref="Q4:Q5"/>
    <mergeCell ref="P4:P5"/>
    <mergeCell ref="O4:O5"/>
  </mergeCells>
  <conditionalFormatting sqref="C12">
    <cfRule type="cellIs" dxfId="35" priority="1" operator="lessThan">
      <formula>29</formula>
    </cfRule>
    <cfRule type="cellIs" dxfId="34" priority="2" operator="greaterThan">
      <formula>38</formula>
    </cfRule>
    <cfRule type="cellIs" dxfId="33" priority="3" operator="lessThan">
      <formula>38</formula>
    </cfRule>
    <cfRule type="cellIs" dxfId="32" priority="4" operator="lessThan">
      <formula>38</formula>
    </cfRule>
    <cfRule type="cellIs" dxfId="31" priority="5" operator="greaterThan">
      <formula>40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Q46"/>
  <sheetViews>
    <sheetView topLeftCell="A29" zoomScaleNormal="100" workbookViewId="0">
      <selection activeCell="E49" sqref="E49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24" style="2" bestFit="1" customWidth="1"/>
    <col min="8" max="8" width="20.140625" style="2" bestFit="1" customWidth="1"/>
    <col min="9" max="9" width="24.4257812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93" bestFit="1" customWidth="1"/>
    <col min="17" max="17" width="8.42578125" style="25" bestFit="1" customWidth="1"/>
    <col min="18" max="16384" width="11.42578125" style="2"/>
  </cols>
  <sheetData>
    <row r="1" spans="1:17" x14ac:dyDescent="0.25">
      <c r="A1" s="627" t="s">
        <v>356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92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2816261</v>
      </c>
      <c r="C4" s="4" t="s">
        <v>9</v>
      </c>
      <c r="D4" s="5">
        <v>0</v>
      </c>
      <c r="E4" s="4"/>
      <c r="F4" s="4" t="s">
        <v>79</v>
      </c>
      <c r="G4" s="4" t="s">
        <v>46</v>
      </c>
      <c r="H4" s="4" t="s">
        <v>97</v>
      </c>
      <c r="I4" s="4" t="s">
        <v>284</v>
      </c>
      <c r="J4" s="4" t="s">
        <v>285</v>
      </c>
      <c r="K4" s="4" t="s">
        <v>286</v>
      </c>
      <c r="L4" s="4">
        <v>672</v>
      </c>
      <c r="M4" s="4">
        <v>0</v>
      </c>
      <c r="N4" s="4" t="s">
        <v>10</v>
      </c>
      <c r="O4" s="5">
        <v>0</v>
      </c>
      <c r="P4" s="64">
        <v>0</v>
      </c>
      <c r="Q4" s="24">
        <v>0</v>
      </c>
    </row>
    <row r="5" spans="1:17" ht="25.5" customHeight="1" x14ac:dyDescent="0.25">
      <c r="A5" s="10">
        <v>44470</v>
      </c>
      <c r="B5" s="11">
        <v>3027850</v>
      </c>
      <c r="C5" s="11" t="s">
        <v>50</v>
      </c>
      <c r="D5" s="66">
        <v>20739.57</v>
      </c>
      <c r="E5" s="11" t="s">
        <v>51</v>
      </c>
      <c r="F5" s="11" t="s">
        <v>46</v>
      </c>
      <c r="G5" s="11" t="s">
        <v>81</v>
      </c>
      <c r="H5" s="11" t="s">
        <v>97</v>
      </c>
      <c r="I5" s="11" t="s">
        <v>284</v>
      </c>
      <c r="J5" s="11" t="s">
        <v>285</v>
      </c>
      <c r="K5" s="11" t="s">
        <v>286</v>
      </c>
      <c r="L5" s="11">
        <v>120</v>
      </c>
      <c r="M5" s="11">
        <v>28160</v>
      </c>
      <c r="N5" s="11" t="s">
        <v>38</v>
      </c>
      <c r="O5" s="637">
        <v>71264.994000000006</v>
      </c>
      <c r="P5" s="631">
        <f>O5/(D5+D7+D9+D11)*100</f>
        <v>30.700000124928096</v>
      </c>
      <c r="Q5" s="630">
        <f>(D5+D7+D9+D11)/(L5+L6+L7+L8+L9+L10+L11)</f>
        <v>93.60222983870969</v>
      </c>
    </row>
    <row r="6" spans="1:17" ht="25.5" customHeight="1" x14ac:dyDescent="0.25">
      <c r="A6" s="10">
        <v>44473</v>
      </c>
      <c r="B6" s="11"/>
      <c r="C6" s="11" t="s">
        <v>9</v>
      </c>
      <c r="D6" s="66">
        <v>0</v>
      </c>
      <c r="E6" s="11"/>
      <c r="F6" s="11" t="s">
        <v>81</v>
      </c>
      <c r="G6" s="11" t="s">
        <v>74</v>
      </c>
      <c r="H6" s="11" t="s">
        <v>97</v>
      </c>
      <c r="I6" s="11" t="s">
        <v>284</v>
      </c>
      <c r="J6" s="11" t="s">
        <v>285</v>
      </c>
      <c r="K6" s="11" t="s">
        <v>286</v>
      </c>
      <c r="L6" s="11">
        <v>560</v>
      </c>
      <c r="M6" s="11">
        <v>0</v>
      </c>
      <c r="N6" s="11" t="s">
        <v>10</v>
      </c>
      <c r="O6" s="650"/>
      <c r="P6" s="631"/>
      <c r="Q6" s="630"/>
    </row>
    <row r="7" spans="1:17" ht="25.5" customHeight="1" x14ac:dyDescent="0.25">
      <c r="A7" s="10">
        <v>44474</v>
      </c>
      <c r="B7" s="11">
        <v>3029987</v>
      </c>
      <c r="C7" s="11" t="s">
        <v>50</v>
      </c>
      <c r="D7" s="66">
        <v>49867.25</v>
      </c>
      <c r="E7" s="11" t="s">
        <v>75</v>
      </c>
      <c r="F7" s="11" t="s">
        <v>74</v>
      </c>
      <c r="G7" s="11" t="s">
        <v>222</v>
      </c>
      <c r="H7" s="11" t="s">
        <v>97</v>
      </c>
      <c r="I7" s="11" t="s">
        <v>284</v>
      </c>
      <c r="J7" s="11" t="s">
        <v>285</v>
      </c>
      <c r="K7" s="11" t="s">
        <v>286</v>
      </c>
      <c r="L7" s="11">
        <v>275</v>
      </c>
      <c r="M7" s="11">
        <v>27960</v>
      </c>
      <c r="N7" s="11" t="s">
        <v>38</v>
      </c>
      <c r="O7" s="650"/>
      <c r="P7" s="631"/>
      <c r="Q7" s="630"/>
    </row>
    <row r="8" spans="1:17" ht="25.5" customHeight="1" x14ac:dyDescent="0.25">
      <c r="A8" s="10">
        <v>44475</v>
      </c>
      <c r="B8" s="11">
        <v>2816371</v>
      </c>
      <c r="C8" s="11" t="s">
        <v>9</v>
      </c>
      <c r="D8" s="66">
        <v>0</v>
      </c>
      <c r="E8" s="11"/>
      <c r="F8" s="11" t="s">
        <v>222</v>
      </c>
      <c r="G8" s="11" t="s">
        <v>74</v>
      </c>
      <c r="H8" s="11" t="s">
        <v>97</v>
      </c>
      <c r="I8" s="11" t="s">
        <v>284</v>
      </c>
      <c r="J8" s="11" t="s">
        <v>285</v>
      </c>
      <c r="K8" s="11" t="s">
        <v>286</v>
      </c>
      <c r="L8" s="11">
        <v>275</v>
      </c>
      <c r="M8" s="11">
        <v>0</v>
      </c>
      <c r="N8" s="11" t="s">
        <v>10</v>
      </c>
      <c r="O8" s="650"/>
      <c r="P8" s="631"/>
      <c r="Q8" s="630"/>
    </row>
    <row r="9" spans="1:17" ht="25.5" customHeight="1" x14ac:dyDescent="0.25">
      <c r="A9" s="10">
        <v>44476</v>
      </c>
      <c r="B9" s="11">
        <v>3031822</v>
      </c>
      <c r="C9" s="11" t="s">
        <v>50</v>
      </c>
      <c r="D9" s="66">
        <v>49867.25</v>
      </c>
      <c r="E9" s="11" t="s">
        <v>95</v>
      </c>
      <c r="F9" s="11" t="s">
        <v>74</v>
      </c>
      <c r="G9" s="11" t="s">
        <v>222</v>
      </c>
      <c r="H9" s="11" t="s">
        <v>97</v>
      </c>
      <c r="I9" s="11" t="s">
        <v>284</v>
      </c>
      <c r="J9" s="11" t="s">
        <v>285</v>
      </c>
      <c r="K9" s="11" t="s">
        <v>286</v>
      </c>
      <c r="L9" s="11">
        <v>275</v>
      </c>
      <c r="M9" s="11">
        <v>25360</v>
      </c>
      <c r="N9" s="11" t="s">
        <v>38</v>
      </c>
      <c r="O9" s="650"/>
      <c r="P9" s="631"/>
      <c r="Q9" s="630"/>
    </row>
    <row r="10" spans="1:17" ht="25.5" customHeight="1" x14ac:dyDescent="0.25">
      <c r="A10" s="10">
        <v>44480</v>
      </c>
      <c r="B10" s="11">
        <v>2816501</v>
      </c>
      <c r="C10" s="11" t="s">
        <v>9</v>
      </c>
      <c r="D10" s="66">
        <v>0</v>
      </c>
      <c r="E10" s="11"/>
      <c r="F10" s="11" t="s">
        <v>222</v>
      </c>
      <c r="G10" s="11" t="s">
        <v>74</v>
      </c>
      <c r="H10" s="11" t="s">
        <v>97</v>
      </c>
      <c r="I10" s="11" t="s">
        <v>284</v>
      </c>
      <c r="J10" s="11" t="s">
        <v>285</v>
      </c>
      <c r="K10" s="11" t="s">
        <v>286</v>
      </c>
      <c r="L10" s="11">
        <v>275</v>
      </c>
      <c r="M10" s="11">
        <v>0</v>
      </c>
      <c r="N10" s="11" t="s">
        <v>10</v>
      </c>
      <c r="O10" s="650"/>
      <c r="P10" s="631"/>
      <c r="Q10" s="630"/>
    </row>
    <row r="11" spans="1:17" ht="25.5" customHeight="1" x14ac:dyDescent="0.25">
      <c r="A11" s="10">
        <v>44481</v>
      </c>
      <c r="B11" s="11">
        <v>3032436</v>
      </c>
      <c r="C11" s="11" t="s">
        <v>50</v>
      </c>
      <c r="D11" s="66">
        <v>111659.46</v>
      </c>
      <c r="E11" s="11" t="s">
        <v>95</v>
      </c>
      <c r="F11" s="11" t="s">
        <v>74</v>
      </c>
      <c r="G11" s="11" t="s">
        <v>46</v>
      </c>
      <c r="H11" s="11" t="s">
        <v>97</v>
      </c>
      <c r="I11" s="11" t="s">
        <v>284</v>
      </c>
      <c r="J11" s="11" t="s">
        <v>285</v>
      </c>
      <c r="K11" s="11" t="s">
        <v>286</v>
      </c>
      <c r="L11" s="11">
        <v>700</v>
      </c>
      <c r="M11" s="11">
        <v>28590</v>
      </c>
      <c r="N11" s="11" t="s">
        <v>38</v>
      </c>
      <c r="O11" s="638"/>
      <c r="P11" s="631"/>
      <c r="Q11" s="630"/>
    </row>
    <row r="12" spans="1:17" ht="25.5" customHeight="1" x14ac:dyDescent="0.25">
      <c r="A12" s="16">
        <v>44483</v>
      </c>
      <c r="B12" s="17">
        <v>3034172</v>
      </c>
      <c r="C12" s="17" t="s">
        <v>50</v>
      </c>
      <c r="D12" s="70">
        <v>77146.47</v>
      </c>
      <c r="E12" s="17" t="s">
        <v>68</v>
      </c>
      <c r="F12" s="17" t="s">
        <v>46</v>
      </c>
      <c r="G12" s="17" t="s">
        <v>52</v>
      </c>
      <c r="H12" s="17" t="s">
        <v>97</v>
      </c>
      <c r="I12" s="17" t="s">
        <v>284</v>
      </c>
      <c r="J12" s="17" t="s">
        <v>285</v>
      </c>
      <c r="K12" s="17" t="s">
        <v>286</v>
      </c>
      <c r="L12" s="17">
        <v>450</v>
      </c>
      <c r="M12" s="17">
        <v>28220</v>
      </c>
      <c r="N12" s="17" t="s">
        <v>38</v>
      </c>
      <c r="O12" s="644">
        <v>23683.96629</v>
      </c>
      <c r="P12" s="629">
        <f>O12/D12*100</f>
        <v>30.7</v>
      </c>
      <c r="Q12" s="628">
        <f>D12/(L12+L13)</f>
        <v>85.718299999999999</v>
      </c>
    </row>
    <row r="13" spans="1:17" ht="25.5" customHeight="1" x14ac:dyDescent="0.25">
      <c r="A13" s="16">
        <v>44485</v>
      </c>
      <c r="B13" s="17">
        <v>2816557</v>
      </c>
      <c r="C13" s="17" t="s">
        <v>9</v>
      </c>
      <c r="D13" s="70">
        <v>0</v>
      </c>
      <c r="E13" s="17"/>
      <c r="F13" s="17" t="s">
        <v>52</v>
      </c>
      <c r="G13" s="17" t="s">
        <v>46</v>
      </c>
      <c r="H13" s="17" t="s">
        <v>97</v>
      </c>
      <c r="I13" s="17" t="s">
        <v>284</v>
      </c>
      <c r="J13" s="17" t="s">
        <v>285</v>
      </c>
      <c r="K13" s="17" t="s">
        <v>286</v>
      </c>
      <c r="L13" s="17">
        <v>450</v>
      </c>
      <c r="M13" s="17">
        <v>0</v>
      </c>
      <c r="N13" s="17" t="s">
        <v>10</v>
      </c>
      <c r="O13" s="645"/>
      <c r="P13" s="629"/>
      <c r="Q13" s="628"/>
    </row>
    <row r="14" spans="1:17" ht="25.5" customHeight="1" x14ac:dyDescent="0.25">
      <c r="A14" s="12">
        <v>44487</v>
      </c>
      <c r="B14" s="13">
        <v>2816556</v>
      </c>
      <c r="C14" s="13" t="s">
        <v>9</v>
      </c>
      <c r="D14" s="68">
        <v>0</v>
      </c>
      <c r="E14" s="13"/>
      <c r="F14" s="13" t="s">
        <v>46</v>
      </c>
      <c r="G14" s="13" t="s">
        <v>171</v>
      </c>
      <c r="H14" s="13" t="s">
        <v>97</v>
      </c>
      <c r="I14" s="13" t="s">
        <v>284</v>
      </c>
      <c r="J14" s="13" t="s">
        <v>285</v>
      </c>
      <c r="K14" s="13" t="s">
        <v>247</v>
      </c>
      <c r="L14" s="13">
        <v>260</v>
      </c>
      <c r="M14" s="13">
        <v>0</v>
      </c>
      <c r="N14" s="13" t="s">
        <v>10</v>
      </c>
      <c r="O14" s="640">
        <v>25542.295620000001</v>
      </c>
      <c r="P14" s="635">
        <f>O14/D15*100</f>
        <v>30.7</v>
      </c>
      <c r="Q14" s="634">
        <f>D15/(L14+L15+L16)</f>
        <v>70.508186440677974</v>
      </c>
    </row>
    <row r="15" spans="1:17" ht="25.5" customHeight="1" x14ac:dyDescent="0.25">
      <c r="A15" s="12">
        <v>44488</v>
      </c>
      <c r="B15" s="13">
        <v>3036526</v>
      </c>
      <c r="C15" s="13" t="s">
        <v>169</v>
      </c>
      <c r="D15" s="68">
        <v>83199.66</v>
      </c>
      <c r="E15" s="13" t="s">
        <v>178</v>
      </c>
      <c r="F15" s="13" t="s">
        <v>171</v>
      </c>
      <c r="G15" s="13" t="s">
        <v>177</v>
      </c>
      <c r="H15" s="13" t="s">
        <v>97</v>
      </c>
      <c r="I15" s="13" t="s">
        <v>284</v>
      </c>
      <c r="J15" s="13" t="s">
        <v>285</v>
      </c>
      <c r="K15" s="13" t="s">
        <v>247</v>
      </c>
      <c r="L15" s="13">
        <v>370</v>
      </c>
      <c r="M15" s="13">
        <v>6520</v>
      </c>
      <c r="N15" s="13" t="s">
        <v>176</v>
      </c>
      <c r="O15" s="641"/>
      <c r="P15" s="635"/>
      <c r="Q15" s="634"/>
    </row>
    <row r="16" spans="1:17" ht="25.5" customHeight="1" x14ac:dyDescent="0.25">
      <c r="A16" s="12">
        <v>44489</v>
      </c>
      <c r="B16" s="13">
        <v>2816555</v>
      </c>
      <c r="C16" s="13" t="s">
        <v>9</v>
      </c>
      <c r="D16" s="68">
        <v>0</v>
      </c>
      <c r="E16" s="13"/>
      <c r="F16" s="13" t="s">
        <v>177</v>
      </c>
      <c r="G16" s="13" t="s">
        <v>46</v>
      </c>
      <c r="H16" s="13" t="s">
        <v>97</v>
      </c>
      <c r="I16" s="13" t="s">
        <v>284</v>
      </c>
      <c r="J16" s="13" t="s">
        <v>285</v>
      </c>
      <c r="K16" s="13" t="s">
        <v>247</v>
      </c>
      <c r="L16" s="13">
        <v>550</v>
      </c>
      <c r="M16" s="13">
        <v>0</v>
      </c>
      <c r="N16" s="13" t="s">
        <v>10</v>
      </c>
      <c r="O16" s="642"/>
      <c r="P16" s="635"/>
      <c r="Q16" s="634"/>
    </row>
    <row r="17" spans="1:17" ht="25.5" customHeight="1" x14ac:dyDescent="0.25">
      <c r="A17" s="14">
        <v>44489</v>
      </c>
      <c r="B17" s="15">
        <v>2816554</v>
      </c>
      <c r="C17" s="15" t="s">
        <v>9</v>
      </c>
      <c r="D17" s="67">
        <v>0</v>
      </c>
      <c r="E17" s="15"/>
      <c r="F17" s="15" t="s">
        <v>46</v>
      </c>
      <c r="G17" s="15" t="s">
        <v>171</v>
      </c>
      <c r="H17" s="15" t="s">
        <v>97</v>
      </c>
      <c r="I17" s="15" t="s">
        <v>284</v>
      </c>
      <c r="J17" s="15" t="s">
        <v>285</v>
      </c>
      <c r="K17" s="15" t="s">
        <v>247</v>
      </c>
      <c r="L17" s="15">
        <v>260</v>
      </c>
      <c r="M17" s="15">
        <v>0</v>
      </c>
      <c r="N17" s="15" t="s">
        <v>10</v>
      </c>
      <c r="O17" s="647">
        <v>14948.898359999999</v>
      </c>
      <c r="P17" s="633">
        <f>O17/D18*100</f>
        <v>30.699999999999996</v>
      </c>
      <c r="Q17" s="632">
        <f>D18/(L17+L18+L19)</f>
        <v>72.676835820895533</v>
      </c>
    </row>
    <row r="18" spans="1:17" ht="25.5" customHeight="1" x14ac:dyDescent="0.25">
      <c r="A18" s="14">
        <v>44490</v>
      </c>
      <c r="B18" s="15">
        <v>3038076</v>
      </c>
      <c r="C18" s="15" t="s">
        <v>169</v>
      </c>
      <c r="D18" s="67">
        <v>48693.48</v>
      </c>
      <c r="E18" s="15" t="s">
        <v>178</v>
      </c>
      <c r="F18" s="15" t="s">
        <v>171</v>
      </c>
      <c r="G18" s="15" t="s">
        <v>172</v>
      </c>
      <c r="H18" s="15" t="s">
        <v>97</v>
      </c>
      <c r="I18" s="15" t="s">
        <v>284</v>
      </c>
      <c r="J18" s="15" t="s">
        <v>285</v>
      </c>
      <c r="K18" s="15" t="s">
        <v>247</v>
      </c>
      <c r="L18" s="15">
        <v>250</v>
      </c>
      <c r="M18" s="15">
        <v>15960</v>
      </c>
      <c r="N18" s="15" t="s">
        <v>176</v>
      </c>
      <c r="O18" s="657"/>
      <c r="P18" s="633"/>
      <c r="Q18" s="632"/>
    </row>
    <row r="19" spans="1:17" ht="25.5" customHeight="1" x14ac:dyDescent="0.25">
      <c r="A19" s="14">
        <v>44490</v>
      </c>
      <c r="B19" s="15"/>
      <c r="C19" s="15" t="s">
        <v>9</v>
      </c>
      <c r="D19" s="67">
        <v>0</v>
      </c>
      <c r="E19" s="15"/>
      <c r="F19" s="15" t="s">
        <v>172</v>
      </c>
      <c r="G19" s="15" t="s">
        <v>46</v>
      </c>
      <c r="H19" s="15" t="s">
        <v>97</v>
      </c>
      <c r="I19" s="15" t="s">
        <v>284</v>
      </c>
      <c r="J19" s="15" t="s">
        <v>285</v>
      </c>
      <c r="K19" s="15" t="s">
        <v>247</v>
      </c>
      <c r="L19" s="15">
        <v>160</v>
      </c>
      <c r="M19" s="15">
        <v>0</v>
      </c>
      <c r="N19" s="15" t="s">
        <v>10</v>
      </c>
      <c r="O19" s="648"/>
      <c r="P19" s="633"/>
      <c r="Q19" s="632"/>
    </row>
    <row r="20" spans="1:17" ht="25.5" customHeight="1" x14ac:dyDescent="0.25">
      <c r="A20" s="10">
        <v>44491</v>
      </c>
      <c r="B20" s="11">
        <v>2816623</v>
      </c>
      <c r="C20" s="11" t="s">
        <v>9</v>
      </c>
      <c r="D20" s="66">
        <v>0</v>
      </c>
      <c r="E20" s="11"/>
      <c r="F20" s="11" t="s">
        <v>46</v>
      </c>
      <c r="G20" s="11" t="s">
        <v>171</v>
      </c>
      <c r="H20" s="11" t="s">
        <v>97</v>
      </c>
      <c r="I20" s="11" t="s">
        <v>284</v>
      </c>
      <c r="J20" s="11" t="s">
        <v>285</v>
      </c>
      <c r="K20" s="11" t="s">
        <v>247</v>
      </c>
      <c r="L20" s="11">
        <v>260</v>
      </c>
      <c r="M20" s="11">
        <v>0</v>
      </c>
      <c r="N20" s="11" t="s">
        <v>10</v>
      </c>
      <c r="O20" s="637">
        <v>25542.295620000001</v>
      </c>
      <c r="P20" s="631">
        <f>O20/D21*100</f>
        <v>30.7</v>
      </c>
      <c r="Q20" s="630">
        <f>D21/(L20+L21+L22)</f>
        <v>70.508186440677974</v>
      </c>
    </row>
    <row r="21" spans="1:17" ht="25.5" customHeight="1" x14ac:dyDescent="0.25">
      <c r="A21" s="10">
        <v>44491</v>
      </c>
      <c r="B21" s="11">
        <v>3038883</v>
      </c>
      <c r="C21" s="11" t="s">
        <v>169</v>
      </c>
      <c r="D21" s="66">
        <v>83199.66</v>
      </c>
      <c r="E21" s="11" t="s">
        <v>178</v>
      </c>
      <c r="F21" s="11" t="s">
        <v>171</v>
      </c>
      <c r="G21" s="11" t="s">
        <v>177</v>
      </c>
      <c r="H21" s="11" t="s">
        <v>97</v>
      </c>
      <c r="I21" s="11" t="s">
        <v>284</v>
      </c>
      <c r="J21" s="11" t="s">
        <v>285</v>
      </c>
      <c r="K21" s="11" t="s">
        <v>247</v>
      </c>
      <c r="L21" s="11">
        <v>370</v>
      </c>
      <c r="M21" s="11">
        <v>3720</v>
      </c>
      <c r="N21" s="11" t="s">
        <v>176</v>
      </c>
      <c r="O21" s="650"/>
      <c r="P21" s="631"/>
      <c r="Q21" s="630"/>
    </row>
    <row r="22" spans="1:17" ht="25.5" customHeight="1" x14ac:dyDescent="0.25">
      <c r="A22" s="10">
        <v>44492</v>
      </c>
      <c r="B22" s="11">
        <v>2816624</v>
      </c>
      <c r="C22" s="11" t="s">
        <v>9</v>
      </c>
      <c r="D22" s="66">
        <v>0</v>
      </c>
      <c r="E22" s="11"/>
      <c r="F22" s="11" t="s">
        <v>177</v>
      </c>
      <c r="G22" s="11" t="s">
        <v>46</v>
      </c>
      <c r="H22" s="11" t="s">
        <v>97</v>
      </c>
      <c r="I22" s="11" t="s">
        <v>284</v>
      </c>
      <c r="J22" s="11" t="s">
        <v>285</v>
      </c>
      <c r="K22" s="11" t="s">
        <v>247</v>
      </c>
      <c r="L22" s="11">
        <v>550</v>
      </c>
      <c r="M22" s="11">
        <v>0</v>
      </c>
      <c r="N22" s="11" t="s">
        <v>10</v>
      </c>
      <c r="O22" s="638"/>
      <c r="P22" s="631"/>
      <c r="Q22" s="630"/>
    </row>
    <row r="23" spans="1:17" ht="25.5" customHeight="1" x14ac:dyDescent="0.25">
      <c r="A23" s="16">
        <v>44494</v>
      </c>
      <c r="B23" s="17">
        <v>2816591</v>
      </c>
      <c r="C23" s="17" t="s">
        <v>9</v>
      </c>
      <c r="D23" s="70">
        <v>0</v>
      </c>
      <c r="E23" s="17"/>
      <c r="F23" s="17" t="s">
        <v>46</v>
      </c>
      <c r="G23" s="17" t="s">
        <v>171</v>
      </c>
      <c r="H23" s="17" t="s">
        <v>97</v>
      </c>
      <c r="I23" s="17" t="s">
        <v>284</v>
      </c>
      <c r="J23" s="17" t="s">
        <v>285</v>
      </c>
      <c r="K23" s="17" t="s">
        <v>247</v>
      </c>
      <c r="L23" s="17">
        <v>260</v>
      </c>
      <c r="M23" s="17">
        <v>0</v>
      </c>
      <c r="N23" s="17" t="s">
        <v>10</v>
      </c>
      <c r="O23" s="644">
        <v>14948.898359999999</v>
      </c>
      <c r="P23" s="629">
        <f>O23/D24*100</f>
        <v>30.699999999999996</v>
      </c>
      <c r="Q23" s="628">
        <f>D24/(L23+L24+L25)</f>
        <v>72.676835820895533</v>
      </c>
    </row>
    <row r="24" spans="1:17" ht="25.5" customHeight="1" x14ac:dyDescent="0.25">
      <c r="A24" s="16">
        <v>44495</v>
      </c>
      <c r="B24" s="17">
        <v>3040451</v>
      </c>
      <c r="C24" s="17" t="s">
        <v>169</v>
      </c>
      <c r="D24" s="70">
        <v>48693.48</v>
      </c>
      <c r="E24" s="17" t="s">
        <v>178</v>
      </c>
      <c r="F24" s="17" t="s">
        <v>171</v>
      </c>
      <c r="G24" s="17" t="s">
        <v>172</v>
      </c>
      <c r="H24" s="17" t="s">
        <v>97</v>
      </c>
      <c r="I24" s="17" t="s">
        <v>284</v>
      </c>
      <c r="J24" s="17" t="s">
        <v>285</v>
      </c>
      <c r="K24" s="17" t="s">
        <v>247</v>
      </c>
      <c r="L24" s="17">
        <v>250</v>
      </c>
      <c r="M24" s="17">
        <v>9380</v>
      </c>
      <c r="N24" s="17" t="s">
        <v>176</v>
      </c>
      <c r="O24" s="656"/>
      <c r="P24" s="629"/>
      <c r="Q24" s="628"/>
    </row>
    <row r="25" spans="1:17" ht="25.5" customHeight="1" x14ac:dyDescent="0.25">
      <c r="A25" s="16">
        <v>44496</v>
      </c>
      <c r="B25" s="17">
        <v>2816621</v>
      </c>
      <c r="C25" s="17" t="s">
        <v>9</v>
      </c>
      <c r="D25" s="70">
        <v>0</v>
      </c>
      <c r="E25" s="17"/>
      <c r="F25" s="17" t="s">
        <v>172</v>
      </c>
      <c r="G25" s="17" t="s">
        <v>46</v>
      </c>
      <c r="H25" s="17" t="s">
        <v>97</v>
      </c>
      <c r="I25" s="17" t="s">
        <v>284</v>
      </c>
      <c r="J25" s="17" t="s">
        <v>285</v>
      </c>
      <c r="K25" s="17" t="s">
        <v>247</v>
      </c>
      <c r="L25" s="17">
        <v>160</v>
      </c>
      <c r="M25" s="17">
        <v>0</v>
      </c>
      <c r="N25" s="17" t="s">
        <v>10</v>
      </c>
      <c r="O25" s="645"/>
      <c r="P25" s="629"/>
      <c r="Q25" s="628"/>
    </row>
    <row r="26" spans="1:17" ht="25.5" customHeight="1" x14ac:dyDescent="0.25">
      <c r="A26" s="12">
        <v>44496</v>
      </c>
      <c r="B26" s="13">
        <v>2816622</v>
      </c>
      <c r="C26" s="13" t="s">
        <v>9</v>
      </c>
      <c r="D26" s="68">
        <v>0</v>
      </c>
      <c r="E26" s="13"/>
      <c r="F26" s="13" t="s">
        <v>46</v>
      </c>
      <c r="G26" s="13" t="s">
        <v>171</v>
      </c>
      <c r="H26" s="13" t="s">
        <v>97</v>
      </c>
      <c r="I26" s="13" t="s">
        <v>284</v>
      </c>
      <c r="J26" s="13" t="s">
        <v>285</v>
      </c>
      <c r="K26" s="13" t="s">
        <v>247</v>
      </c>
      <c r="L26" s="13">
        <v>260</v>
      </c>
      <c r="M26" s="13">
        <v>0</v>
      </c>
      <c r="N26" s="13" t="s">
        <v>10</v>
      </c>
      <c r="O26" s="640">
        <v>25542.295620000001</v>
      </c>
      <c r="P26" s="635">
        <f>O26/D27*100</f>
        <v>30.7</v>
      </c>
      <c r="Q26" s="634">
        <f>D27/(L26+L27+L28)</f>
        <v>70.508186440677974</v>
      </c>
    </row>
    <row r="27" spans="1:17" ht="25.5" customHeight="1" x14ac:dyDescent="0.25">
      <c r="A27" s="12">
        <v>44497</v>
      </c>
      <c r="B27" s="13">
        <v>3041485</v>
      </c>
      <c r="C27" s="13" t="s">
        <v>169</v>
      </c>
      <c r="D27" s="68">
        <v>83199.66</v>
      </c>
      <c r="E27" s="13" t="s">
        <v>178</v>
      </c>
      <c r="F27" s="13" t="s">
        <v>171</v>
      </c>
      <c r="G27" s="13" t="s">
        <v>177</v>
      </c>
      <c r="H27" s="13" t="s">
        <v>97</v>
      </c>
      <c r="I27" s="13" t="s">
        <v>284</v>
      </c>
      <c r="J27" s="13" t="s">
        <v>285</v>
      </c>
      <c r="K27" s="13" t="s">
        <v>247</v>
      </c>
      <c r="L27" s="13">
        <v>370</v>
      </c>
      <c r="M27" s="13">
        <v>7340</v>
      </c>
      <c r="N27" s="13" t="s">
        <v>176</v>
      </c>
      <c r="O27" s="641"/>
      <c r="P27" s="635"/>
      <c r="Q27" s="634"/>
    </row>
    <row r="28" spans="1:17" ht="25.5" customHeight="1" x14ac:dyDescent="0.25">
      <c r="A28" s="79">
        <v>44499</v>
      </c>
      <c r="B28" s="80">
        <v>2816658</v>
      </c>
      <c r="C28" s="80" t="s">
        <v>9</v>
      </c>
      <c r="D28" s="71">
        <v>0</v>
      </c>
      <c r="E28" s="80"/>
      <c r="F28" s="80" t="s">
        <v>177</v>
      </c>
      <c r="G28" s="80" t="s">
        <v>46</v>
      </c>
      <c r="H28" s="80" t="s">
        <v>97</v>
      </c>
      <c r="I28" s="80" t="s">
        <v>284</v>
      </c>
      <c r="J28" s="80" t="s">
        <v>285</v>
      </c>
      <c r="K28" s="80" t="s">
        <v>247</v>
      </c>
      <c r="L28" s="80">
        <v>550</v>
      </c>
      <c r="M28" s="80">
        <v>0</v>
      </c>
      <c r="N28" s="80" t="s">
        <v>10</v>
      </c>
      <c r="O28" s="642"/>
      <c r="P28" s="635"/>
      <c r="Q28" s="634"/>
    </row>
    <row r="29" spans="1:17" x14ac:dyDescent="0.25">
      <c r="A29" s="9"/>
      <c r="B29" s="9"/>
      <c r="C29" s="9"/>
      <c r="D29" s="18">
        <f>SUM(D4:D28)</f>
        <v>656265.94000000006</v>
      </c>
      <c r="E29" s="9"/>
      <c r="F29" s="9"/>
      <c r="G29" s="9"/>
      <c r="H29" s="9"/>
      <c r="I29" s="9"/>
      <c r="J29" s="9"/>
      <c r="K29" s="9"/>
      <c r="L29" s="9">
        <f>SUM(L4:L28)</f>
        <v>8932</v>
      </c>
      <c r="M29" s="9"/>
      <c r="N29" s="9"/>
      <c r="O29" s="24">
        <f>SUM(O4:O28)</f>
        <v>201473.64386999997</v>
      </c>
      <c r="P29" s="64">
        <f>O29/D29*100</f>
        <v>30.700000044189395</v>
      </c>
      <c r="Q29" s="26">
        <f>D29/L29</f>
        <v>73.473571428571432</v>
      </c>
    </row>
    <row r="31" spans="1:17" ht="15" customHeight="1" x14ac:dyDescent="0.25">
      <c r="A31" s="36" t="s">
        <v>322</v>
      </c>
      <c r="B31" s="36" t="s">
        <v>323</v>
      </c>
      <c r="C31" s="36" t="s">
        <v>324</v>
      </c>
      <c r="D31" s="36" t="s">
        <v>325</v>
      </c>
      <c r="F31" s="37" t="s">
        <v>326</v>
      </c>
      <c r="G31" s="37" t="s">
        <v>327</v>
      </c>
      <c r="H31" s="37" t="s">
        <v>328</v>
      </c>
      <c r="I31" s="38"/>
    </row>
    <row r="32" spans="1:17" x14ac:dyDescent="0.25">
      <c r="A32" s="39">
        <f>D29/L29</f>
        <v>73.473571428571432</v>
      </c>
      <c r="B32" s="40">
        <f>COMBUSTIBLE!C168</f>
        <v>2611.6</v>
      </c>
      <c r="C32" s="41">
        <f>B32/L29*100</f>
        <v>29.238692342140617</v>
      </c>
      <c r="D32" s="42">
        <f>B38/B32</f>
        <v>69.072795923897431</v>
      </c>
      <c r="F32" s="43">
        <f>+B38/D29</f>
        <v>0.2748741064252862</v>
      </c>
      <c r="G32" s="43">
        <f>B43/D29</f>
        <v>0.40319608918854077</v>
      </c>
      <c r="H32" s="44"/>
      <c r="I32" s="38"/>
    </row>
    <row r="33" spans="1:17" x14ac:dyDescent="0.25">
      <c r="F33" s="38"/>
      <c r="G33" s="38"/>
      <c r="H33" s="38"/>
      <c r="I33" s="38"/>
    </row>
    <row r="34" spans="1:17" x14ac:dyDescent="0.25">
      <c r="A34" s="36"/>
      <c r="B34" s="36" t="s">
        <v>329</v>
      </c>
      <c r="C34" s="36" t="s">
        <v>330</v>
      </c>
      <c r="D34" s="36" t="s">
        <v>286</v>
      </c>
      <c r="K34" s="25"/>
      <c r="L34" s="29"/>
      <c r="M34" s="25"/>
      <c r="O34" s="2"/>
      <c r="Q34" s="2"/>
    </row>
    <row r="35" spans="1:17" x14ac:dyDescent="0.25">
      <c r="A35" s="7" t="s">
        <v>331</v>
      </c>
      <c r="B35" s="24">
        <f>D29</f>
        <v>656265.94000000006</v>
      </c>
      <c r="C35" s="45">
        <f>B36</f>
        <v>201473.64386999997</v>
      </c>
      <c r="D35" s="46">
        <f>C35/B35</f>
        <v>0.30700000044189396</v>
      </c>
      <c r="K35" s="25"/>
      <c r="L35" s="29"/>
      <c r="M35" s="25"/>
      <c r="O35" s="2"/>
      <c r="Q35" s="2"/>
    </row>
    <row r="36" spans="1:17" x14ac:dyDescent="0.25">
      <c r="A36" s="47" t="s">
        <v>27</v>
      </c>
      <c r="B36" s="24">
        <f>O29</f>
        <v>201473.64386999997</v>
      </c>
      <c r="C36" s="9"/>
    </row>
    <row r="37" spans="1:17" x14ac:dyDescent="0.25">
      <c r="A37" s="48" t="s">
        <v>332</v>
      </c>
      <c r="B37" s="49">
        <f>(6*(78578.313+12454.55))/(150000+80000)*L29</f>
        <v>21211.448669113044</v>
      </c>
      <c r="C37" s="49">
        <f>(12*(78578.313+12454.55))/(150000+80000)*L29</f>
        <v>42422.897338226088</v>
      </c>
    </row>
    <row r="38" spans="1:17" x14ac:dyDescent="0.25">
      <c r="A38" s="48" t="s">
        <v>333</v>
      </c>
      <c r="B38" s="24">
        <f>COMBUSTIBLE!J168</f>
        <v>180390.51383485051</v>
      </c>
      <c r="C38" s="9"/>
    </row>
    <row r="39" spans="1:17" x14ac:dyDescent="0.25">
      <c r="A39" s="48" t="s">
        <v>334</v>
      </c>
      <c r="B39" s="24"/>
      <c r="C39" s="9"/>
    </row>
    <row r="40" spans="1:17" x14ac:dyDescent="0.25">
      <c r="A40" s="48" t="s">
        <v>335</v>
      </c>
      <c r="B40" s="24">
        <f>'PATENTE PROVINCIAL'!N61</f>
        <v>1830.2</v>
      </c>
      <c r="C40" s="42"/>
    </row>
    <row r="41" spans="1:17" x14ac:dyDescent="0.25">
      <c r="A41" s="48" t="s">
        <v>336</v>
      </c>
      <c r="B41" s="24">
        <f>'PATENTE MUNICIPAL'!I68</f>
        <v>2560.7233333333334</v>
      </c>
      <c r="C41" s="42">
        <f>'PATENTE MUNICIPAL'!I35</f>
        <v>20.833333333333332</v>
      </c>
    </row>
    <row r="42" spans="1:17" x14ac:dyDescent="0.25">
      <c r="A42" s="48" t="s">
        <v>337</v>
      </c>
      <c r="B42" s="24">
        <f>SEGURO!K72</f>
        <v>1236.5432093611639</v>
      </c>
      <c r="C42" s="42">
        <f>SEGURO!K39</f>
        <v>261.09831688804553</v>
      </c>
    </row>
    <row r="43" spans="1:17" x14ac:dyDescent="0.25">
      <c r="A43" s="48" t="s">
        <v>338</v>
      </c>
      <c r="B43" s="24">
        <f>L29*SUELDOS!Z3</f>
        <v>264603.86047564156</v>
      </c>
      <c r="C43" s="42"/>
      <c r="D43" s="50">
        <f>B43/L29</f>
        <v>29.624256658714909</v>
      </c>
    </row>
    <row r="44" spans="1:17" x14ac:dyDescent="0.25">
      <c r="A44" s="48" t="s">
        <v>339</v>
      </c>
      <c r="B44" s="24">
        <f>'GASTOS TRACTOR'!H367</f>
        <v>39600.795413000007</v>
      </c>
      <c r="C44" s="42">
        <f>'GASTOS SEMI'!H81</f>
        <v>41793.22</v>
      </c>
    </row>
    <row r="45" spans="1:17" x14ac:dyDescent="0.25">
      <c r="A45" s="48" t="s">
        <v>340</v>
      </c>
      <c r="B45" s="24">
        <f>SUM(B37:B44)</f>
        <v>511434.08493529964</v>
      </c>
      <c r="C45" s="51">
        <f>SUM(C37:C44)</f>
        <v>84498.048988447466</v>
      </c>
    </row>
    <row r="46" spans="1:17" x14ac:dyDescent="0.25">
      <c r="A46" s="36" t="s">
        <v>341</v>
      </c>
      <c r="B46" s="52">
        <f>B35-B36-B45</f>
        <v>-56641.788805299555</v>
      </c>
      <c r="C46" s="53">
        <f>C35-C36-C45</f>
        <v>116975.5948815525</v>
      </c>
      <c r="D46" s="52">
        <f>+B46+C46</f>
        <v>60333.806076252949</v>
      </c>
    </row>
  </sheetData>
  <sortState xmlns:xlrd2="http://schemas.microsoft.com/office/spreadsheetml/2017/richdata2" ref="A2:P25">
    <sortCondition ref="A1"/>
  </sortState>
  <mergeCells count="22">
    <mergeCell ref="Q26:Q28"/>
    <mergeCell ref="P26:P28"/>
    <mergeCell ref="O26:O28"/>
    <mergeCell ref="Q23:Q25"/>
    <mergeCell ref="P23:P25"/>
    <mergeCell ref="O23:O25"/>
    <mergeCell ref="Q20:Q22"/>
    <mergeCell ref="P20:P22"/>
    <mergeCell ref="O20:O22"/>
    <mergeCell ref="Q17:Q19"/>
    <mergeCell ref="P17:P19"/>
    <mergeCell ref="O17:O19"/>
    <mergeCell ref="Q5:Q11"/>
    <mergeCell ref="P5:P11"/>
    <mergeCell ref="O5:O11"/>
    <mergeCell ref="A1:Q2"/>
    <mergeCell ref="Q14:Q16"/>
    <mergeCell ref="P14:P16"/>
    <mergeCell ref="O14:O16"/>
    <mergeCell ref="Q12:Q13"/>
    <mergeCell ref="P12:P13"/>
    <mergeCell ref="O12:O13"/>
  </mergeCells>
  <conditionalFormatting sqref="C32">
    <cfRule type="cellIs" dxfId="30" priority="1" operator="lessThan">
      <formula>29</formula>
    </cfRule>
    <cfRule type="cellIs" dxfId="29" priority="2" operator="greaterThan">
      <formula>38</formula>
    </cfRule>
    <cfRule type="cellIs" dxfId="28" priority="3" operator="lessThan">
      <formula>38</formula>
    </cfRule>
    <cfRule type="cellIs" dxfId="27" priority="4" operator="lessThan">
      <formula>38</formula>
    </cfRule>
    <cfRule type="cellIs" dxfId="26" priority="5" operator="greaterThan">
      <formula>40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W146"/>
  <sheetViews>
    <sheetView workbookViewId="0">
      <selection activeCell="AL14" sqref="AL14:AO14"/>
    </sheetView>
  </sheetViews>
  <sheetFormatPr baseColWidth="10" defaultRowHeight="15" x14ac:dyDescent="0.25"/>
  <cols>
    <col min="1" max="1" width="27.85546875" style="2" bestFit="1" customWidth="1"/>
    <col min="2" max="2" width="17.140625" style="2" hidden="1" customWidth="1"/>
    <col min="3" max="3" width="14.5703125" style="2" hidden="1" customWidth="1"/>
    <col min="4" max="4" width="7.5703125" style="2" hidden="1" customWidth="1"/>
    <col min="5" max="5" width="8.85546875" style="2" hidden="1" customWidth="1"/>
    <col min="6" max="6" width="17.140625" style="2" hidden="1" customWidth="1"/>
    <col min="7" max="7" width="14.5703125" style="2" hidden="1" customWidth="1"/>
    <col min="8" max="8" width="7.5703125" style="2" hidden="1" customWidth="1"/>
    <col min="9" max="9" width="8.5703125" style="2" hidden="1" customWidth="1"/>
    <col min="10" max="10" width="17.140625" style="2" hidden="1" customWidth="1"/>
    <col min="11" max="11" width="14.5703125" style="2" hidden="1" customWidth="1"/>
    <col min="12" max="13" width="11.42578125" style="2" hidden="1" customWidth="1"/>
    <col min="14" max="14" width="17.140625" style="2" hidden="1" customWidth="1"/>
    <col min="15" max="15" width="14.5703125" style="2" hidden="1" customWidth="1"/>
    <col min="16" max="16" width="7.5703125" style="2" hidden="1" customWidth="1"/>
    <col min="17" max="17" width="9.5703125" style="2" hidden="1" customWidth="1"/>
    <col min="18" max="18" width="17.140625" style="2" hidden="1" customWidth="1"/>
    <col min="19" max="19" width="14.5703125" style="2" hidden="1" customWidth="1"/>
    <col min="20" max="20" width="7.5703125" style="2" hidden="1" customWidth="1"/>
    <col min="21" max="21" width="9.5703125" style="2" hidden="1" customWidth="1"/>
    <col min="22" max="22" width="17.140625" style="2" hidden="1" customWidth="1"/>
    <col min="23" max="23" width="14.5703125" style="2" hidden="1" customWidth="1"/>
    <col min="24" max="24" width="7.5703125" style="2" hidden="1" customWidth="1"/>
    <col min="25" max="25" width="8.5703125" style="2" hidden="1" customWidth="1"/>
    <col min="26" max="26" width="17.140625" style="2" hidden="1" customWidth="1"/>
    <col min="27" max="27" width="14.5703125" style="2" hidden="1" customWidth="1"/>
    <col min="28" max="28" width="7.5703125" style="2" hidden="1" customWidth="1"/>
    <col min="29" max="29" width="8.42578125" style="2" hidden="1" customWidth="1"/>
    <col min="30" max="30" width="17.140625" style="2" hidden="1" customWidth="1"/>
    <col min="31" max="31" width="14.5703125" style="2" hidden="1" customWidth="1"/>
    <col min="32" max="32" width="7.5703125" style="2" hidden="1" customWidth="1"/>
    <col min="33" max="33" width="8.42578125" style="2" hidden="1" customWidth="1"/>
    <col min="34" max="34" width="17.140625" style="2" hidden="1" customWidth="1"/>
    <col min="35" max="35" width="14.5703125" style="2" hidden="1" customWidth="1"/>
    <col min="36" max="36" width="7.5703125" style="2" hidden="1" customWidth="1"/>
    <col min="37" max="37" width="8.42578125" style="2" hidden="1" customWidth="1"/>
    <col min="38" max="38" width="17.140625" style="2" bestFit="1" customWidth="1"/>
    <col min="39" max="39" width="14.5703125" style="2" bestFit="1" customWidth="1"/>
    <col min="40" max="40" width="7.5703125" style="2" bestFit="1" customWidth="1"/>
    <col min="41" max="41" width="8.5703125" style="2" bestFit="1" customWidth="1"/>
    <col min="42" max="42" width="17.140625" style="2" bestFit="1" customWidth="1"/>
    <col min="43" max="43" width="14.5703125" style="2" bestFit="1" customWidth="1"/>
    <col min="44" max="44" width="11.42578125" style="2"/>
    <col min="45" max="45" width="9.5703125" style="2" bestFit="1" customWidth="1"/>
    <col min="46" max="46" width="17.140625" style="2" bestFit="1" customWidth="1"/>
    <col min="47" max="47" width="14.5703125" style="2" bestFit="1" customWidth="1"/>
    <col min="48" max="16384" width="11.42578125" style="2"/>
  </cols>
  <sheetData>
    <row r="1" spans="1:49" x14ac:dyDescent="0.25">
      <c r="A1" s="503" t="s">
        <v>1089</v>
      </c>
      <c r="B1" s="504"/>
      <c r="C1" s="504"/>
      <c r="D1" s="504"/>
      <c r="E1" s="504"/>
      <c r="F1" s="504"/>
      <c r="G1" s="504"/>
      <c r="H1" s="504"/>
      <c r="I1" s="504"/>
      <c r="J1" s="504"/>
      <c r="K1" s="504"/>
      <c r="L1" s="504"/>
      <c r="M1" s="504"/>
      <c r="N1" s="504"/>
      <c r="O1" s="504"/>
      <c r="P1" s="504"/>
      <c r="Q1" s="504"/>
      <c r="R1" s="504"/>
      <c r="S1" s="504"/>
      <c r="T1" s="504"/>
      <c r="U1" s="504"/>
      <c r="V1" s="504"/>
      <c r="W1" s="504"/>
      <c r="X1" s="504"/>
      <c r="Y1" s="504"/>
      <c r="Z1" s="504"/>
      <c r="AA1" s="504"/>
      <c r="AB1" s="504"/>
      <c r="AC1" s="504"/>
      <c r="AD1" s="504"/>
      <c r="AE1" s="504"/>
      <c r="AF1" s="504"/>
      <c r="AG1" s="504"/>
      <c r="AH1" s="504"/>
      <c r="AI1" s="504"/>
      <c r="AJ1" s="504"/>
      <c r="AK1" s="504"/>
      <c r="AL1" s="504"/>
      <c r="AM1" s="504"/>
      <c r="AN1" s="504"/>
      <c r="AO1" s="504"/>
      <c r="AP1" s="504"/>
      <c r="AQ1" s="504"/>
      <c r="AR1" s="504"/>
      <c r="AS1" s="504"/>
      <c r="AT1" s="504"/>
      <c r="AU1" s="504"/>
      <c r="AV1" s="504"/>
      <c r="AW1" s="505"/>
    </row>
    <row r="2" spans="1:49" ht="15.75" thickBot="1" x14ac:dyDescent="0.3">
      <c r="A2" s="519"/>
      <c r="B2" s="520"/>
      <c r="C2" s="520"/>
      <c r="D2" s="520"/>
      <c r="E2" s="520"/>
      <c r="F2" s="520"/>
      <c r="G2" s="520"/>
      <c r="H2" s="520"/>
      <c r="I2" s="520"/>
      <c r="J2" s="520"/>
      <c r="K2" s="520"/>
      <c r="L2" s="520"/>
      <c r="M2" s="520"/>
      <c r="N2" s="520"/>
      <c r="O2" s="520"/>
      <c r="P2" s="520"/>
      <c r="Q2" s="520"/>
      <c r="R2" s="520"/>
      <c r="S2" s="520"/>
      <c r="T2" s="520"/>
      <c r="U2" s="520"/>
      <c r="V2" s="520"/>
      <c r="W2" s="520"/>
      <c r="X2" s="520"/>
      <c r="Y2" s="520"/>
      <c r="Z2" s="520"/>
      <c r="AA2" s="520"/>
      <c r="AB2" s="520"/>
      <c r="AC2" s="520"/>
      <c r="AD2" s="520"/>
      <c r="AE2" s="520"/>
      <c r="AF2" s="520"/>
      <c r="AG2" s="520"/>
      <c r="AH2" s="520"/>
      <c r="AI2" s="520"/>
      <c r="AJ2" s="520"/>
      <c r="AK2" s="520"/>
      <c r="AL2" s="520"/>
      <c r="AM2" s="520"/>
      <c r="AN2" s="520"/>
      <c r="AO2" s="520"/>
      <c r="AP2" s="520"/>
      <c r="AQ2" s="520"/>
      <c r="AR2" s="520"/>
      <c r="AS2" s="520"/>
      <c r="AT2" s="520"/>
      <c r="AU2" s="520"/>
      <c r="AV2" s="520"/>
      <c r="AW2" s="576"/>
    </row>
    <row r="3" spans="1:49" ht="15.75" thickBot="1" x14ac:dyDescent="0.3">
      <c r="A3" s="294"/>
      <c r="B3" s="577">
        <v>44136</v>
      </c>
      <c r="C3" s="578"/>
      <c r="D3" s="578"/>
      <c r="E3" s="579"/>
      <c r="F3" s="577">
        <v>44166</v>
      </c>
      <c r="G3" s="578"/>
      <c r="H3" s="578"/>
      <c r="I3" s="579"/>
      <c r="J3" s="577">
        <v>44197</v>
      </c>
      <c r="K3" s="578"/>
      <c r="L3" s="578"/>
      <c r="M3" s="579"/>
      <c r="N3" s="577">
        <v>44228</v>
      </c>
      <c r="O3" s="578"/>
      <c r="P3" s="578"/>
      <c r="Q3" s="579"/>
      <c r="R3" s="577">
        <v>44256</v>
      </c>
      <c r="S3" s="578"/>
      <c r="T3" s="578"/>
      <c r="U3" s="579"/>
      <c r="V3" s="577">
        <v>44287</v>
      </c>
      <c r="W3" s="578"/>
      <c r="X3" s="578"/>
      <c r="Y3" s="579"/>
      <c r="Z3" s="577">
        <v>44317</v>
      </c>
      <c r="AA3" s="578"/>
      <c r="AB3" s="578"/>
      <c r="AC3" s="579"/>
      <c r="AD3" s="577">
        <v>44348</v>
      </c>
      <c r="AE3" s="578"/>
      <c r="AF3" s="578"/>
      <c r="AG3" s="579"/>
      <c r="AH3" s="577">
        <v>44378</v>
      </c>
      <c r="AI3" s="578"/>
      <c r="AJ3" s="578"/>
      <c r="AK3" s="579"/>
      <c r="AL3" s="577">
        <v>44409</v>
      </c>
      <c r="AM3" s="578"/>
      <c r="AN3" s="578"/>
      <c r="AO3" s="579"/>
      <c r="AP3" s="577">
        <v>44440</v>
      </c>
      <c r="AQ3" s="578"/>
      <c r="AR3" s="578"/>
      <c r="AS3" s="579"/>
      <c r="AT3" s="577">
        <v>44470</v>
      </c>
      <c r="AU3" s="578"/>
      <c r="AV3" s="578"/>
      <c r="AW3" s="579"/>
    </row>
    <row r="4" spans="1:49" ht="15.75" thickBot="1" x14ac:dyDescent="0.3">
      <c r="A4" s="296" t="s">
        <v>1090</v>
      </c>
      <c r="B4" s="564">
        <f>C41</f>
        <v>1904274.5835983509</v>
      </c>
      <c r="C4" s="565"/>
      <c r="D4" s="565"/>
      <c r="E4" s="566"/>
      <c r="F4" s="564">
        <f>G41</f>
        <v>1891390.3982653867</v>
      </c>
      <c r="G4" s="565"/>
      <c r="H4" s="565"/>
      <c r="I4" s="566"/>
      <c r="J4" s="564">
        <f>K41</f>
        <v>2432170.0528148436</v>
      </c>
      <c r="K4" s="565"/>
      <c r="L4" s="565"/>
      <c r="M4" s="566"/>
      <c r="N4" s="564">
        <f>O41</f>
        <v>2259318.7874708902</v>
      </c>
      <c r="O4" s="565"/>
      <c r="P4" s="565"/>
      <c r="Q4" s="566"/>
      <c r="R4" s="564">
        <f>S41</f>
        <v>3404638.8287905445</v>
      </c>
      <c r="S4" s="565"/>
      <c r="T4" s="565"/>
      <c r="U4" s="566"/>
      <c r="V4" s="564">
        <f>W41</f>
        <v>2541869.3968046275</v>
      </c>
      <c r="W4" s="565"/>
      <c r="X4" s="565"/>
      <c r="Y4" s="566"/>
      <c r="Z4" s="564">
        <f>AA41</f>
        <v>2360452.1082434068</v>
      </c>
      <c r="AA4" s="565"/>
      <c r="AB4" s="565"/>
      <c r="AC4" s="566"/>
      <c r="AD4" s="564">
        <f>AE41</f>
        <v>2477783.7993695159</v>
      </c>
      <c r="AE4" s="565"/>
      <c r="AF4" s="565"/>
      <c r="AG4" s="566"/>
      <c r="AH4" s="564">
        <f>AI41</f>
        <v>2933289.3210517806</v>
      </c>
      <c r="AI4" s="565"/>
      <c r="AJ4" s="565"/>
      <c r="AK4" s="566"/>
      <c r="AL4" s="564">
        <f>AM41</f>
        <v>4738740.6934102476</v>
      </c>
      <c r="AM4" s="565"/>
      <c r="AN4" s="565"/>
      <c r="AO4" s="566"/>
      <c r="AP4" s="564">
        <f>AQ41</f>
        <v>4698071.8006983809</v>
      </c>
      <c r="AQ4" s="565"/>
      <c r="AR4" s="565"/>
      <c r="AS4" s="566"/>
      <c r="AT4" s="564">
        <f>AU41</f>
        <v>6308998.0710522002</v>
      </c>
      <c r="AU4" s="565"/>
      <c r="AV4" s="565"/>
      <c r="AW4" s="566"/>
    </row>
    <row r="5" spans="1:49" ht="15.75" thickBot="1" x14ac:dyDescent="0.3">
      <c r="A5" s="296" t="s">
        <v>1091</v>
      </c>
      <c r="B5" s="564">
        <f>C61</f>
        <v>1264241.7403530763</v>
      </c>
      <c r="C5" s="565"/>
      <c r="D5" s="565"/>
      <c r="E5" s="566"/>
      <c r="F5" s="564">
        <f>G61</f>
        <v>1292649.4086484155</v>
      </c>
      <c r="G5" s="565"/>
      <c r="H5" s="565"/>
      <c r="I5" s="566"/>
      <c r="J5" s="564">
        <f>K61</f>
        <v>1462429.7313462065</v>
      </c>
      <c r="K5" s="565"/>
      <c r="L5" s="565"/>
      <c r="M5" s="566"/>
      <c r="N5" s="564">
        <f>O61</f>
        <v>1333733.5957972326</v>
      </c>
      <c r="O5" s="565"/>
      <c r="P5" s="565"/>
      <c r="Q5" s="566"/>
      <c r="R5" s="564">
        <f>S61</f>
        <v>1382367.1457998662</v>
      </c>
      <c r="S5" s="565"/>
      <c r="T5" s="565"/>
      <c r="U5" s="566"/>
      <c r="V5" s="564">
        <f>W61</f>
        <v>1860816.3194930032</v>
      </c>
      <c r="W5" s="565"/>
      <c r="X5" s="565"/>
      <c r="Y5" s="566"/>
      <c r="Z5" s="564">
        <f>AA61</f>
        <v>1355481.6353658901</v>
      </c>
      <c r="AA5" s="565"/>
      <c r="AB5" s="565"/>
      <c r="AC5" s="566"/>
      <c r="AD5" s="564">
        <f>AE61</f>
        <v>1423987.4401018727</v>
      </c>
      <c r="AE5" s="565"/>
      <c r="AF5" s="565"/>
      <c r="AG5" s="566"/>
      <c r="AH5" s="564">
        <f>AI61</f>
        <v>1398920.2991956766</v>
      </c>
      <c r="AI5" s="565"/>
      <c r="AJ5" s="565"/>
      <c r="AK5" s="566"/>
      <c r="AL5" s="564">
        <f>AM61</f>
        <v>1842536.9721736768</v>
      </c>
      <c r="AM5" s="565"/>
      <c r="AN5" s="565"/>
      <c r="AO5" s="566"/>
      <c r="AP5" s="564">
        <f>AQ61</f>
        <v>2011910.3423552457</v>
      </c>
      <c r="AQ5" s="565"/>
      <c r="AR5" s="565"/>
      <c r="AS5" s="566"/>
      <c r="AT5" s="564">
        <f>AU61</f>
        <v>1355638.2015410322</v>
      </c>
      <c r="AU5" s="565"/>
      <c r="AV5" s="565"/>
      <c r="AW5" s="566"/>
    </row>
    <row r="6" spans="1:49" ht="15.75" thickBot="1" x14ac:dyDescent="0.3">
      <c r="A6" s="296" t="s">
        <v>1092</v>
      </c>
      <c r="B6" s="564">
        <f>C87</f>
        <v>2024221.2296975192</v>
      </c>
      <c r="C6" s="565"/>
      <c r="D6" s="565"/>
      <c r="E6" s="566"/>
      <c r="F6" s="564">
        <f>G87</f>
        <v>2295921.9080719016</v>
      </c>
      <c r="G6" s="565"/>
      <c r="H6" s="565"/>
      <c r="I6" s="566"/>
      <c r="J6" s="564">
        <f>K87</f>
        <v>2665349.9725085916</v>
      </c>
      <c r="K6" s="565"/>
      <c r="L6" s="565"/>
      <c r="M6" s="566"/>
      <c r="N6" s="564">
        <f>O87</f>
        <v>2359679.8032382154</v>
      </c>
      <c r="O6" s="565"/>
      <c r="P6" s="565"/>
      <c r="Q6" s="566"/>
      <c r="R6" s="564">
        <f>S87</f>
        <v>2215580.0611510323</v>
      </c>
      <c r="S6" s="565"/>
      <c r="T6" s="565"/>
      <c r="U6" s="566"/>
      <c r="V6" s="564">
        <f>W87</f>
        <v>2266003.3096829108</v>
      </c>
      <c r="W6" s="565"/>
      <c r="X6" s="565"/>
      <c r="Y6" s="566"/>
      <c r="Z6" s="564">
        <f>AA87</f>
        <v>1987520.9637366845</v>
      </c>
      <c r="AA6" s="565"/>
      <c r="AB6" s="565"/>
      <c r="AC6" s="566"/>
      <c r="AD6" s="564">
        <f>AE87</f>
        <v>2451917.5565256421</v>
      </c>
      <c r="AE6" s="565"/>
      <c r="AF6" s="565"/>
      <c r="AG6" s="566"/>
      <c r="AH6" s="564">
        <f>AI87</f>
        <v>2568587.1020172946</v>
      </c>
      <c r="AI6" s="565"/>
      <c r="AJ6" s="565"/>
      <c r="AK6" s="566"/>
      <c r="AL6" s="564">
        <f>AM87</f>
        <v>2951792.3203314687</v>
      </c>
      <c r="AM6" s="565"/>
      <c r="AN6" s="565"/>
      <c r="AO6" s="566"/>
      <c r="AP6" s="564">
        <f>AQ87</f>
        <v>3215679.9460388138</v>
      </c>
      <c r="AQ6" s="565"/>
      <c r="AR6" s="565"/>
      <c r="AS6" s="566"/>
      <c r="AT6" s="564">
        <f>AU87</f>
        <v>3272617.8669532537</v>
      </c>
      <c r="AU6" s="565"/>
      <c r="AV6" s="565"/>
      <c r="AW6" s="566"/>
    </row>
    <row r="7" spans="1:49" ht="15.75" thickBot="1" x14ac:dyDescent="0.3">
      <c r="A7" s="296" t="s">
        <v>1093</v>
      </c>
      <c r="B7" s="564">
        <f>B97</f>
        <v>283803.33290899999</v>
      </c>
      <c r="C7" s="565"/>
      <c r="D7" s="565"/>
      <c r="E7" s="566"/>
      <c r="F7" s="564">
        <f>F97</f>
        <v>189654.06069300001</v>
      </c>
      <c r="G7" s="565"/>
      <c r="H7" s="565"/>
      <c r="I7" s="566"/>
      <c r="J7" s="564">
        <f>J97</f>
        <v>227547.70175099996</v>
      </c>
      <c r="K7" s="565"/>
      <c r="L7" s="565"/>
      <c r="M7" s="566"/>
      <c r="N7" s="564">
        <f>N97</f>
        <v>306821.10176800005</v>
      </c>
      <c r="O7" s="565"/>
      <c r="P7" s="565"/>
      <c r="Q7" s="566"/>
      <c r="R7" s="564">
        <f>R97</f>
        <v>310176.11033</v>
      </c>
      <c r="S7" s="565"/>
      <c r="T7" s="565"/>
      <c r="U7" s="566"/>
      <c r="V7" s="564">
        <f>V97</f>
        <v>356797.24429500004</v>
      </c>
      <c r="W7" s="565"/>
      <c r="X7" s="565"/>
      <c r="Y7" s="566"/>
      <c r="Z7" s="564">
        <f>Z97</f>
        <v>313899.15013899998</v>
      </c>
      <c r="AA7" s="565"/>
      <c r="AB7" s="565"/>
      <c r="AC7" s="566"/>
      <c r="AD7" s="564">
        <f>AD97</f>
        <v>331701.94934199995</v>
      </c>
      <c r="AE7" s="565"/>
      <c r="AF7" s="565"/>
      <c r="AG7" s="566"/>
      <c r="AH7" s="564">
        <f>AH97</f>
        <v>266257.18096099998</v>
      </c>
      <c r="AI7" s="565"/>
      <c r="AJ7" s="565"/>
      <c r="AK7" s="566"/>
      <c r="AL7" s="564">
        <f>AL97</f>
        <v>444293.26066499995</v>
      </c>
      <c r="AM7" s="565"/>
      <c r="AN7" s="565"/>
      <c r="AO7" s="566"/>
      <c r="AP7" s="564">
        <f>AP97</f>
        <v>429956.88772909995</v>
      </c>
      <c r="AQ7" s="565"/>
      <c r="AR7" s="565"/>
      <c r="AS7" s="566"/>
      <c r="AT7" s="564">
        <f>AT97</f>
        <v>452219.08919600002</v>
      </c>
      <c r="AU7" s="565"/>
      <c r="AV7" s="565"/>
      <c r="AW7" s="566"/>
    </row>
    <row r="8" spans="1:49" ht="15.75" thickBot="1" x14ac:dyDescent="0.3">
      <c r="A8" s="296" t="s">
        <v>1094</v>
      </c>
      <c r="B8" s="564">
        <f>B145</f>
        <v>-51019.828447032785</v>
      </c>
      <c r="C8" s="565"/>
      <c r="D8" s="565"/>
      <c r="E8" s="566"/>
      <c r="F8" s="564">
        <f>F145</f>
        <v>-33616.607785887238</v>
      </c>
      <c r="G8" s="565"/>
      <c r="H8" s="565"/>
      <c r="I8" s="566"/>
      <c r="J8" s="564">
        <f>J145</f>
        <v>-20007.455947032795</v>
      </c>
      <c r="K8" s="565"/>
      <c r="L8" s="565"/>
      <c r="M8" s="566"/>
      <c r="N8" s="564">
        <f>N145</f>
        <v>-12692.64261369946</v>
      </c>
      <c r="O8" s="565"/>
      <c r="P8" s="565"/>
      <c r="Q8" s="566"/>
      <c r="R8" s="564">
        <f>R145</f>
        <v>-905994.79278588726</v>
      </c>
      <c r="S8" s="565"/>
      <c r="T8" s="565"/>
      <c r="U8" s="566"/>
      <c r="V8" s="564">
        <f>V145</f>
        <v>-1020087.3836192206</v>
      </c>
      <c r="W8" s="565"/>
      <c r="X8" s="565"/>
      <c r="Y8" s="566"/>
      <c r="Z8" s="564">
        <f>Z145</f>
        <v>-77861.967652553911</v>
      </c>
      <c r="AA8" s="565"/>
      <c r="AB8" s="565"/>
      <c r="AC8" s="566"/>
      <c r="AD8" s="564">
        <f>AD145</f>
        <v>-603630.74725255393</v>
      </c>
      <c r="AE8" s="565"/>
      <c r="AF8" s="565"/>
      <c r="AG8" s="566"/>
      <c r="AH8" s="564">
        <f>AH145</f>
        <v>-266472.14530531445</v>
      </c>
      <c r="AI8" s="565"/>
      <c r="AJ8" s="565"/>
      <c r="AK8" s="566"/>
      <c r="AL8" s="564">
        <f>AL145</f>
        <v>-2237581.8114635963</v>
      </c>
      <c r="AM8" s="565"/>
      <c r="AN8" s="565"/>
      <c r="AO8" s="566"/>
      <c r="AP8" s="564">
        <f>AP145</f>
        <v>-134842.794356673</v>
      </c>
      <c r="AQ8" s="565"/>
      <c r="AR8" s="565"/>
      <c r="AS8" s="566"/>
      <c r="AT8" s="564">
        <f>AT145</f>
        <v>-63076.788935483863</v>
      </c>
      <c r="AU8" s="565"/>
      <c r="AV8" s="565"/>
      <c r="AW8" s="566"/>
    </row>
    <row r="9" spans="1:49" x14ac:dyDescent="0.25">
      <c r="A9" s="494" t="s">
        <v>1095</v>
      </c>
      <c r="B9" s="558">
        <f>SUM(B4:E8)</f>
        <v>5425521.0581109133</v>
      </c>
      <c r="C9" s="559"/>
      <c r="D9" s="559"/>
      <c r="E9" s="560"/>
      <c r="F9" s="558">
        <f>SUM(F4:I8)</f>
        <v>5635999.1678928174</v>
      </c>
      <c r="G9" s="559"/>
      <c r="H9" s="559"/>
      <c r="I9" s="560"/>
      <c r="J9" s="558">
        <f>SUM(J4:M8)</f>
        <v>6767490.0024736086</v>
      </c>
      <c r="K9" s="559"/>
      <c r="L9" s="559"/>
      <c r="M9" s="560"/>
      <c r="N9" s="558">
        <f>SUM(N4:Q8)</f>
        <v>6246860.6456606388</v>
      </c>
      <c r="O9" s="559"/>
      <c r="P9" s="559"/>
      <c r="Q9" s="560"/>
      <c r="R9" s="558">
        <f>SUM(R4:U8)</f>
        <v>6406767.3532855548</v>
      </c>
      <c r="S9" s="559"/>
      <c r="T9" s="559"/>
      <c r="U9" s="560"/>
      <c r="V9" s="558">
        <f>SUM(V4:Y8)</f>
        <v>6005398.8866563207</v>
      </c>
      <c r="W9" s="559"/>
      <c r="X9" s="559"/>
      <c r="Y9" s="560"/>
      <c r="Z9" s="558">
        <f>SUM(Z4:AC8)</f>
        <v>5939491.8898324277</v>
      </c>
      <c r="AA9" s="559"/>
      <c r="AB9" s="559"/>
      <c r="AC9" s="560"/>
      <c r="AD9" s="558">
        <f>SUM(AD4:AG8)</f>
        <v>6081759.9980864776</v>
      </c>
      <c r="AE9" s="559"/>
      <c r="AF9" s="559"/>
      <c r="AG9" s="560"/>
      <c r="AH9" s="558">
        <f>SUM(AH4:AK8)</f>
        <v>6900581.7579204375</v>
      </c>
      <c r="AI9" s="559"/>
      <c r="AJ9" s="559"/>
      <c r="AK9" s="560"/>
      <c r="AL9" s="558">
        <f>SUM(AL4:AO8)</f>
        <v>7739781.4351167958</v>
      </c>
      <c r="AM9" s="559"/>
      <c r="AN9" s="559"/>
      <c r="AO9" s="560"/>
      <c r="AP9" s="558">
        <f>SUM(AP4:AS8)</f>
        <v>10220776.18246487</v>
      </c>
      <c r="AQ9" s="559"/>
      <c r="AR9" s="559"/>
      <c r="AS9" s="560"/>
      <c r="AT9" s="558">
        <f>SUM(AT4:AW8)</f>
        <v>11326396.439807002</v>
      </c>
      <c r="AU9" s="559"/>
      <c r="AV9" s="559"/>
      <c r="AW9" s="560"/>
    </row>
    <row r="10" spans="1:49" ht="15.75" thickBot="1" x14ac:dyDescent="0.3">
      <c r="A10" s="495"/>
      <c r="B10" s="561"/>
      <c r="C10" s="562"/>
      <c r="D10" s="562"/>
      <c r="E10" s="563"/>
      <c r="F10" s="561"/>
      <c r="G10" s="562"/>
      <c r="H10" s="562"/>
      <c r="I10" s="563"/>
      <c r="J10" s="561"/>
      <c r="K10" s="562"/>
      <c r="L10" s="562"/>
      <c r="M10" s="563"/>
      <c r="N10" s="561"/>
      <c r="O10" s="562"/>
      <c r="P10" s="562"/>
      <c r="Q10" s="563"/>
      <c r="R10" s="561"/>
      <c r="S10" s="562"/>
      <c r="T10" s="562"/>
      <c r="U10" s="563"/>
      <c r="V10" s="561"/>
      <c r="W10" s="562"/>
      <c r="X10" s="562"/>
      <c r="Y10" s="563"/>
      <c r="Z10" s="561"/>
      <c r="AA10" s="562"/>
      <c r="AB10" s="562"/>
      <c r="AC10" s="563"/>
      <c r="AD10" s="561"/>
      <c r="AE10" s="562"/>
      <c r="AF10" s="562"/>
      <c r="AG10" s="563"/>
      <c r="AH10" s="561"/>
      <c r="AI10" s="562"/>
      <c r="AJ10" s="562"/>
      <c r="AK10" s="563"/>
      <c r="AL10" s="561"/>
      <c r="AM10" s="562"/>
      <c r="AN10" s="562"/>
      <c r="AO10" s="563"/>
      <c r="AP10" s="561"/>
      <c r="AQ10" s="562"/>
      <c r="AR10" s="562"/>
      <c r="AS10" s="563"/>
      <c r="AT10" s="561"/>
      <c r="AU10" s="562"/>
      <c r="AV10" s="562"/>
      <c r="AW10" s="563"/>
    </row>
    <row r="11" spans="1:49" ht="15.75" thickBot="1" x14ac:dyDescent="0.3">
      <c r="A11" s="297" t="s">
        <v>1096</v>
      </c>
      <c r="B11" s="564">
        <v>-563058.13</v>
      </c>
      <c r="C11" s="565"/>
      <c r="D11" s="565"/>
      <c r="E11" s="566"/>
      <c r="F11" s="564">
        <f>F9-B9</f>
        <v>210478.10978190415</v>
      </c>
      <c r="G11" s="565"/>
      <c r="H11" s="565"/>
      <c r="I11" s="566"/>
      <c r="J11" s="564">
        <f>J9-F9</f>
        <v>1131490.8345807912</v>
      </c>
      <c r="K11" s="565"/>
      <c r="L11" s="565"/>
      <c r="M11" s="566"/>
      <c r="N11" s="564">
        <f>N9-J9</f>
        <v>-520629.35681296978</v>
      </c>
      <c r="O11" s="565"/>
      <c r="P11" s="565"/>
      <c r="Q11" s="566"/>
      <c r="R11" s="564">
        <f>R9-N9</f>
        <v>159906.70762491599</v>
      </c>
      <c r="S11" s="565"/>
      <c r="T11" s="565"/>
      <c r="U11" s="566"/>
      <c r="V11" s="564">
        <f>V9-R9</f>
        <v>-401368.46662923414</v>
      </c>
      <c r="W11" s="565"/>
      <c r="X11" s="565"/>
      <c r="Y11" s="566"/>
      <c r="Z11" s="564">
        <f>Z9-V9</f>
        <v>-65906.996823892929</v>
      </c>
      <c r="AA11" s="565"/>
      <c r="AB11" s="565"/>
      <c r="AC11" s="566"/>
      <c r="AD11" s="564">
        <f>AD9-Z9</f>
        <v>142268.1082540499</v>
      </c>
      <c r="AE11" s="565"/>
      <c r="AF11" s="565"/>
      <c r="AG11" s="566"/>
      <c r="AH11" s="564">
        <f>AH9-AD9</f>
        <v>818821.75983395986</v>
      </c>
      <c r="AI11" s="565"/>
      <c r="AJ11" s="565"/>
      <c r="AK11" s="566"/>
      <c r="AL11" s="564">
        <f>AL9-AH9</f>
        <v>839199.67719635833</v>
      </c>
      <c r="AM11" s="565"/>
      <c r="AN11" s="565"/>
      <c r="AO11" s="566"/>
      <c r="AP11" s="564">
        <f>AP9-AL9</f>
        <v>2480994.7473480739</v>
      </c>
      <c r="AQ11" s="565"/>
      <c r="AR11" s="565"/>
      <c r="AS11" s="566"/>
      <c r="AT11" s="564">
        <f>AT9-AP9</f>
        <v>1105620.2573421318</v>
      </c>
      <c r="AU11" s="565"/>
      <c r="AV11" s="565"/>
      <c r="AW11" s="566"/>
    </row>
    <row r="12" spans="1:49" ht="15.75" thickBot="1" x14ac:dyDescent="0.3">
      <c r="A12" s="296" t="s">
        <v>1097</v>
      </c>
      <c r="B12" s="567">
        <v>-0.09</v>
      </c>
      <c r="C12" s="568"/>
      <c r="D12" s="568"/>
      <c r="E12" s="569"/>
      <c r="F12" s="567">
        <f>AVERAGE(F11/B9)</f>
        <v>3.8794082177093146E-2</v>
      </c>
      <c r="G12" s="568"/>
      <c r="H12" s="568"/>
      <c r="I12" s="569"/>
      <c r="J12" s="567">
        <f>AVERAGE(J11/F9)</f>
        <v>0.20076135586156094</v>
      </c>
      <c r="K12" s="568"/>
      <c r="L12" s="568"/>
      <c r="M12" s="569"/>
      <c r="N12" s="567">
        <f>AVERAGE(N11/J9)</f>
        <v>-7.6930938445815625E-2</v>
      </c>
      <c r="O12" s="568"/>
      <c r="P12" s="568"/>
      <c r="Q12" s="569"/>
      <c r="R12" s="567">
        <f>AVERAGE(R11/N9)</f>
        <v>2.5597930976096715E-2</v>
      </c>
      <c r="S12" s="568"/>
      <c r="T12" s="568"/>
      <c r="U12" s="569"/>
      <c r="V12" s="567">
        <f>AVERAGE(V11/R9)</f>
        <v>-6.2647579426058309E-2</v>
      </c>
      <c r="W12" s="568"/>
      <c r="X12" s="568"/>
      <c r="Y12" s="569"/>
      <c r="Z12" s="567">
        <f>AVERAGE(Z11/V9)</f>
        <v>-1.0974624345159618E-2</v>
      </c>
      <c r="AA12" s="568"/>
      <c r="AB12" s="568"/>
      <c r="AC12" s="569"/>
      <c r="AD12" s="567">
        <f>AVERAGE(AD11/Z9)</f>
        <v>2.3952908917611763E-2</v>
      </c>
      <c r="AE12" s="568"/>
      <c r="AF12" s="568"/>
      <c r="AG12" s="569"/>
      <c r="AH12" s="567">
        <f>AVERAGE(AH11/AD9)</f>
        <v>0.13463565811403083</v>
      </c>
      <c r="AI12" s="568"/>
      <c r="AJ12" s="568"/>
      <c r="AK12" s="569"/>
      <c r="AL12" s="567">
        <f>AVERAGE(AL11/AH9)</f>
        <v>0.12161288810659059</v>
      </c>
      <c r="AM12" s="568"/>
      <c r="AN12" s="568"/>
      <c r="AO12" s="569"/>
      <c r="AP12" s="567">
        <f>AVERAGE(AP11/AL9)</f>
        <v>0.32055100885554072</v>
      </c>
      <c r="AQ12" s="568"/>
      <c r="AR12" s="568"/>
      <c r="AS12" s="569"/>
      <c r="AT12" s="567">
        <f>AVERAGE(AT11/AP9)</f>
        <v>0.1081738057466686</v>
      </c>
      <c r="AU12" s="568"/>
      <c r="AV12" s="568"/>
      <c r="AW12" s="569"/>
    </row>
    <row r="13" spans="1:49" ht="15.75" thickBot="1" x14ac:dyDescent="0.3"/>
    <row r="14" spans="1:49" ht="15.75" thickBot="1" x14ac:dyDescent="0.3">
      <c r="A14" s="296" t="s">
        <v>1098</v>
      </c>
      <c r="B14" s="570">
        <f>D41+D61+D87+D97</f>
        <v>469649</v>
      </c>
      <c r="C14" s="598"/>
      <c r="D14" s="598"/>
      <c r="E14" s="599"/>
      <c r="F14" s="570">
        <f>H41+H61+H87+H97</f>
        <v>461988</v>
      </c>
      <c r="G14" s="571"/>
      <c r="H14" s="571"/>
      <c r="I14" s="572"/>
      <c r="J14" s="570">
        <f>L41+L61+L87+L97</f>
        <v>504324.30800000002</v>
      </c>
      <c r="K14" s="571"/>
      <c r="L14" s="571"/>
      <c r="M14" s="572"/>
      <c r="N14" s="570">
        <f>P41+P61+P87+P97</f>
        <v>473896.00003</v>
      </c>
      <c r="O14" s="571"/>
      <c r="P14" s="571"/>
      <c r="Q14" s="572"/>
      <c r="R14" s="570">
        <f>T41+T61+T87+T97</f>
        <v>531033</v>
      </c>
      <c r="S14" s="571"/>
      <c r="T14" s="571"/>
      <c r="U14" s="572"/>
      <c r="V14" s="570">
        <f>X41+X61+X87+X97</f>
        <v>474326</v>
      </c>
      <c r="W14" s="571"/>
      <c r="X14" s="571"/>
      <c r="Y14" s="572"/>
      <c r="Z14" s="570">
        <f>AB41+AB61+AB87+AB97</f>
        <v>396428</v>
      </c>
      <c r="AA14" s="571"/>
      <c r="AB14" s="571"/>
      <c r="AC14" s="572"/>
      <c r="AD14" s="570">
        <f>AF41+AF61+AF87+AF97</f>
        <v>441185</v>
      </c>
      <c r="AE14" s="571"/>
      <c r="AF14" s="571"/>
      <c r="AG14" s="572"/>
      <c r="AH14" s="570">
        <f>AJ41+AJ61+AJ87+AJ97</f>
        <v>427681</v>
      </c>
      <c r="AI14" s="571"/>
      <c r="AJ14" s="571"/>
      <c r="AK14" s="572"/>
      <c r="AL14" s="570">
        <f>AN41+AN61+AN87+AN97</f>
        <v>495256</v>
      </c>
      <c r="AM14" s="571"/>
      <c r="AN14" s="571"/>
      <c r="AO14" s="572"/>
      <c r="AP14" s="570">
        <f>AR41+AR61+AR87+AR97</f>
        <v>508453</v>
      </c>
      <c r="AQ14" s="571"/>
      <c r="AR14" s="571"/>
      <c r="AS14" s="572"/>
      <c r="AT14" s="570">
        <f>AV41+AV61+AV87+AV97</f>
        <v>487183</v>
      </c>
      <c r="AU14" s="571"/>
      <c r="AV14" s="571"/>
      <c r="AW14" s="572"/>
    </row>
    <row r="15" spans="1:49" ht="15.75" thickBot="1" x14ac:dyDescent="0.3">
      <c r="A15" s="296" t="s">
        <v>1099</v>
      </c>
      <c r="B15" s="564">
        <f>(B4+B5+B6+B7)/B14</f>
        <v>11.6609231288855</v>
      </c>
      <c r="C15" s="565"/>
      <c r="D15" s="565"/>
      <c r="E15" s="566"/>
      <c r="F15" s="573">
        <f>(F4+F5+F6+F7)/F14</f>
        <v>12.272214377167165</v>
      </c>
      <c r="G15" s="574"/>
      <c r="H15" s="574"/>
      <c r="I15" s="575"/>
      <c r="J15" s="573">
        <f>(J4+J5+J6+J7)/J14</f>
        <v>13.458596682237735</v>
      </c>
      <c r="K15" s="574"/>
      <c r="L15" s="574"/>
      <c r="M15" s="575"/>
      <c r="N15" s="573">
        <f>(N4+N5+N6+N7)/N14</f>
        <v>13.208706737085937</v>
      </c>
      <c r="O15" s="574"/>
      <c r="P15" s="574"/>
      <c r="Q15" s="575"/>
      <c r="R15" s="573">
        <f>(R4+R5+R6+R7)/R14</f>
        <v>13.770824310488129</v>
      </c>
      <c r="S15" s="574"/>
      <c r="T15" s="574"/>
      <c r="U15" s="575"/>
      <c r="V15" s="573">
        <f>(V4+V5+V6+V7)/V14</f>
        <v>14.811514170160484</v>
      </c>
      <c r="W15" s="574"/>
      <c r="X15" s="574"/>
      <c r="Y15" s="575"/>
      <c r="Z15" s="573">
        <f>(Z4+Z5+Z6+Z7)/Z14</f>
        <v>15.178932511036004</v>
      </c>
      <c r="AA15" s="574"/>
      <c r="AB15" s="574"/>
      <c r="AC15" s="575"/>
      <c r="AD15" s="573">
        <f>(AD4+AD5+AD6+AD7)/AD14</f>
        <v>15.153259393086872</v>
      </c>
      <c r="AE15" s="574"/>
      <c r="AF15" s="574"/>
      <c r="AG15" s="575"/>
      <c r="AH15" s="573">
        <f>(AH4+AH5+AH6+AH7)/AH14</f>
        <v>16.75794319416984</v>
      </c>
      <c r="AI15" s="574"/>
      <c r="AJ15" s="574"/>
      <c r="AK15" s="575"/>
      <c r="AL15" s="573">
        <f>(AL4+AL5+AL6+AL7)/AL14</f>
        <v>20.145870512584182</v>
      </c>
      <c r="AM15" s="574"/>
      <c r="AN15" s="574"/>
      <c r="AO15" s="575"/>
      <c r="AP15" s="573">
        <f>(AP4+AP5+AP6+AP7)/AP14</f>
        <v>20.366914890504219</v>
      </c>
      <c r="AQ15" s="574"/>
      <c r="AR15" s="574"/>
      <c r="AS15" s="575"/>
      <c r="AT15" s="573">
        <f>(AT4+AT5+AT6+AT7)/AT14</f>
        <v>23.378223847594203</v>
      </c>
      <c r="AU15" s="574"/>
      <c r="AV15" s="574"/>
      <c r="AW15" s="575"/>
    </row>
    <row r="16" spans="1:49" ht="15.75" thickBot="1" x14ac:dyDescent="0.3"/>
    <row r="17" spans="1:49" ht="15.75" thickBot="1" x14ac:dyDescent="0.3">
      <c r="A17" s="494" t="s">
        <v>1100</v>
      </c>
      <c r="B17" s="496">
        <v>44136</v>
      </c>
      <c r="C17" s="497"/>
      <c r="D17" s="497"/>
      <c r="E17" s="498"/>
      <c r="F17" s="496">
        <v>44166</v>
      </c>
      <c r="G17" s="497"/>
      <c r="H17" s="497"/>
      <c r="I17" s="498"/>
      <c r="J17" s="496">
        <v>44197</v>
      </c>
      <c r="K17" s="497"/>
      <c r="L17" s="497"/>
      <c r="M17" s="498"/>
      <c r="N17" s="496">
        <v>44228</v>
      </c>
      <c r="O17" s="497"/>
      <c r="P17" s="497"/>
      <c r="Q17" s="498"/>
      <c r="R17" s="496">
        <v>44256</v>
      </c>
      <c r="S17" s="497"/>
      <c r="T17" s="497"/>
      <c r="U17" s="498"/>
      <c r="V17" s="496">
        <v>44287</v>
      </c>
      <c r="W17" s="497"/>
      <c r="X17" s="497"/>
      <c r="Y17" s="498"/>
      <c r="Z17" s="496">
        <v>44317</v>
      </c>
      <c r="AA17" s="497"/>
      <c r="AB17" s="497"/>
      <c r="AC17" s="498"/>
      <c r="AD17" s="496">
        <v>44348</v>
      </c>
      <c r="AE17" s="497"/>
      <c r="AF17" s="497"/>
      <c r="AG17" s="498"/>
      <c r="AH17" s="496">
        <v>44378</v>
      </c>
      <c r="AI17" s="497"/>
      <c r="AJ17" s="497"/>
      <c r="AK17" s="498"/>
      <c r="AL17" s="496">
        <v>44409</v>
      </c>
      <c r="AM17" s="497"/>
      <c r="AN17" s="497"/>
      <c r="AO17" s="498"/>
      <c r="AP17" s="496">
        <v>44440</v>
      </c>
      <c r="AQ17" s="497"/>
      <c r="AR17" s="497"/>
      <c r="AS17" s="498"/>
      <c r="AT17" s="496">
        <v>44470</v>
      </c>
      <c r="AU17" s="497"/>
      <c r="AV17" s="497"/>
      <c r="AW17" s="498"/>
    </row>
    <row r="18" spans="1:49" ht="15.75" thickBot="1" x14ac:dyDescent="0.3">
      <c r="A18" s="495"/>
      <c r="B18" s="298" t="s">
        <v>1101</v>
      </c>
      <c r="C18" s="298" t="s">
        <v>1102</v>
      </c>
      <c r="D18" s="298" t="s">
        <v>706</v>
      </c>
      <c r="E18" s="298" t="s">
        <v>1103</v>
      </c>
      <c r="F18" s="298" t="s">
        <v>1101</v>
      </c>
      <c r="G18" s="298" t="s">
        <v>1102</v>
      </c>
      <c r="H18" s="298" t="s">
        <v>706</v>
      </c>
      <c r="I18" s="298" t="s">
        <v>1103</v>
      </c>
      <c r="J18" s="298" t="s">
        <v>1101</v>
      </c>
      <c r="K18" s="298" t="s">
        <v>1102</v>
      </c>
      <c r="L18" s="298" t="s">
        <v>706</v>
      </c>
      <c r="M18" s="298" t="s">
        <v>1103</v>
      </c>
      <c r="N18" s="298" t="s">
        <v>1101</v>
      </c>
      <c r="O18" s="298" t="s">
        <v>1102</v>
      </c>
      <c r="P18" s="298" t="s">
        <v>706</v>
      </c>
      <c r="Q18" s="298" t="s">
        <v>1103</v>
      </c>
      <c r="R18" s="298" t="s">
        <v>1101</v>
      </c>
      <c r="S18" s="298" t="s">
        <v>1102</v>
      </c>
      <c r="T18" s="298" t="s">
        <v>706</v>
      </c>
      <c r="U18" s="298" t="s">
        <v>1103</v>
      </c>
      <c r="V18" s="298" t="s">
        <v>1101</v>
      </c>
      <c r="W18" s="298" t="s">
        <v>1102</v>
      </c>
      <c r="X18" s="298" t="s">
        <v>706</v>
      </c>
      <c r="Y18" s="298" t="s">
        <v>1103</v>
      </c>
      <c r="Z18" s="298" t="s">
        <v>1101</v>
      </c>
      <c r="AA18" s="298" t="s">
        <v>1102</v>
      </c>
      <c r="AB18" s="298" t="s">
        <v>706</v>
      </c>
      <c r="AC18" s="298" t="s">
        <v>1103</v>
      </c>
      <c r="AD18" s="298" t="s">
        <v>1101</v>
      </c>
      <c r="AE18" s="298" t="s">
        <v>1102</v>
      </c>
      <c r="AF18" s="298" t="s">
        <v>706</v>
      </c>
      <c r="AG18" s="298" t="s">
        <v>1103</v>
      </c>
      <c r="AH18" s="298" t="s">
        <v>1101</v>
      </c>
      <c r="AI18" s="298" t="s">
        <v>1102</v>
      </c>
      <c r="AJ18" s="298" t="s">
        <v>706</v>
      </c>
      <c r="AK18" s="298" t="s">
        <v>1103</v>
      </c>
      <c r="AL18" s="298" t="s">
        <v>1101</v>
      </c>
      <c r="AM18" s="298" t="s">
        <v>1102</v>
      </c>
      <c r="AN18" s="298" t="s">
        <v>706</v>
      </c>
      <c r="AO18" s="298" t="s">
        <v>1103</v>
      </c>
      <c r="AP18" s="298" t="s">
        <v>1101</v>
      </c>
      <c r="AQ18" s="298" t="s">
        <v>1102</v>
      </c>
      <c r="AR18" s="298" t="s">
        <v>706</v>
      </c>
      <c r="AS18" s="298" t="s">
        <v>1103</v>
      </c>
      <c r="AT18" s="298" t="s">
        <v>1101</v>
      </c>
      <c r="AU18" s="298" t="s">
        <v>1102</v>
      </c>
      <c r="AV18" s="298" t="s">
        <v>706</v>
      </c>
      <c r="AW18" s="298" t="s">
        <v>1103</v>
      </c>
    </row>
    <row r="19" spans="1:49" x14ac:dyDescent="0.25">
      <c r="A19" s="299" t="s">
        <v>321</v>
      </c>
      <c r="B19" s="151" t="s">
        <v>100</v>
      </c>
      <c r="C19" s="117">
        <f>[3]AC121PH_VIAR!D39</f>
        <v>162845.72350115285</v>
      </c>
      <c r="D19" s="300">
        <f>[3]AC121PH_VIAR!L22</f>
        <v>12720</v>
      </c>
      <c r="E19" s="301">
        <f t="shared" ref="E19:E41" si="0">C19/D19</f>
        <v>12.802336753235288</v>
      </c>
      <c r="F19" s="151" t="s">
        <v>100</v>
      </c>
      <c r="G19" s="117">
        <f>[4]AC121PH_VIAR!D38</f>
        <v>220481.50934930748</v>
      </c>
      <c r="H19" s="300">
        <f>[4]AC121PH_VIAR!L21</f>
        <v>11328</v>
      </c>
      <c r="I19" s="301">
        <f t="shared" ref="I19:I25" si="1">G19/H19</f>
        <v>19.463410076739713</v>
      </c>
      <c r="J19" s="151" t="s">
        <v>100</v>
      </c>
      <c r="K19" s="117">
        <f>[5]AC121PH_VIAR!D37</f>
        <v>204779.43025270646</v>
      </c>
      <c r="L19" s="300">
        <f>[5]AC121PH_VIAR!L20</f>
        <v>11827</v>
      </c>
      <c r="M19" s="301">
        <f t="shared" ref="M19:M25" si="2">K19/L19</f>
        <v>17.314570918466767</v>
      </c>
      <c r="N19" s="151" t="s">
        <v>100</v>
      </c>
      <c r="O19" s="117">
        <f>[6]AC121PH_VIAR!D29</f>
        <v>22966.740716731525</v>
      </c>
      <c r="P19" s="300">
        <f>[6]AC121PH_VIAR!L12</f>
        <v>5324</v>
      </c>
      <c r="Q19" s="301">
        <f t="shared" ref="Q19:Q25" si="3">O19/P19</f>
        <v>4.3138130572373266</v>
      </c>
      <c r="R19" s="151" t="s">
        <v>100</v>
      </c>
      <c r="S19" s="117">
        <f>[7]AC121PH_VIAR!D39</f>
        <v>164866.31108075709</v>
      </c>
      <c r="T19" s="300">
        <f>[7]AC121PH_VIAR!L22</f>
        <v>11228</v>
      </c>
      <c r="U19" s="301">
        <f t="shared" ref="U19:U41" si="4">S19/T19</f>
        <v>14.683497602489943</v>
      </c>
      <c r="V19" s="151" t="s">
        <v>100</v>
      </c>
      <c r="W19" s="117">
        <f>[8]AC121PH_VIAR!D35</f>
        <v>158458.55418351936</v>
      </c>
      <c r="X19" s="300">
        <f>[8]AC121PH_VIAR!L18</f>
        <v>9622</v>
      </c>
      <c r="Y19" s="301">
        <f t="shared" ref="Y19:Y25" si="5">W19/X19</f>
        <v>16.468359403816187</v>
      </c>
      <c r="Z19" s="151" t="s">
        <v>100</v>
      </c>
      <c r="AA19" s="117">
        <f>[9]AC121PH_VIAR!D33</f>
        <v>101443.16874894436</v>
      </c>
      <c r="AB19" s="300">
        <f>[9]AC121PH_VIAR!L16</f>
        <v>8347</v>
      </c>
      <c r="AC19" s="301">
        <f t="shared" ref="AC19:AC25" si="6">AA19/AB19</f>
        <v>12.153248921641831</v>
      </c>
      <c r="AD19" s="151" t="s">
        <v>161</v>
      </c>
      <c r="AE19" s="117">
        <f>[10]AC121PH_VIAR!D36</f>
        <v>209496.42143569168</v>
      </c>
      <c r="AF19" s="300">
        <f>[10]AC121PH_VIAR!L19</f>
        <v>10596</v>
      </c>
      <c r="AG19" s="301">
        <f t="shared" ref="AG19:AG25" si="7">AE19/AF19</f>
        <v>19.771274201178905</v>
      </c>
      <c r="AH19" s="151" t="s">
        <v>161</v>
      </c>
      <c r="AI19" s="117">
        <f>[11]AC121PH_VIAR!D35</f>
        <v>218075.71773481459</v>
      </c>
      <c r="AJ19" s="300">
        <f>[11]AC121PH_VIAR!L18</f>
        <v>9996</v>
      </c>
      <c r="AK19" s="301">
        <f>AI19/AJ19</f>
        <v>21.816298292798578</v>
      </c>
      <c r="AL19" s="151" t="s">
        <v>161</v>
      </c>
      <c r="AM19" s="117">
        <f>[1]AC121PH_VIAR!D39</f>
        <v>349486.4431149211</v>
      </c>
      <c r="AN19" s="300">
        <f>[1]AC121PH_VIAR!L22</f>
        <v>11968</v>
      </c>
      <c r="AO19" s="301">
        <f t="shared" ref="AO19:AO25" si="8">AM19/AN19</f>
        <v>29.201741570431242</v>
      </c>
      <c r="AP19" s="151" t="s">
        <v>161</v>
      </c>
      <c r="AQ19" s="117">
        <f>[2]AC121PH_VIAR!D27</f>
        <v>33861.606974703871</v>
      </c>
      <c r="AR19" s="300">
        <f>[2]AC121PH_VIAR!L10</f>
        <v>3176</v>
      </c>
      <c r="AS19" s="301">
        <f t="shared" ref="AS19:AS41" si="9">AQ19/AR19</f>
        <v>10.661715042413057</v>
      </c>
      <c r="AT19" s="151" t="s">
        <v>100</v>
      </c>
      <c r="AU19" s="117">
        <f>AC121PH_VIAR!D33</f>
        <v>206625.55697917676</v>
      </c>
      <c r="AV19" s="300">
        <f>AC121PH_VIAR!L16</f>
        <v>8656</v>
      </c>
      <c r="AW19" s="301">
        <f t="shared" ref="AW19:AW40" si="10">AU19/AV19</f>
        <v>23.870789854341123</v>
      </c>
    </row>
    <row r="20" spans="1:49" x14ac:dyDescent="0.25">
      <c r="A20" s="302" t="s">
        <v>342</v>
      </c>
      <c r="B20" s="151" t="s">
        <v>106</v>
      </c>
      <c r="C20" s="117">
        <f>[3]AC121PI_VIAR!D37</f>
        <v>173849.61381799311</v>
      </c>
      <c r="D20" s="300">
        <f>[3]AC121PI_VIAR!L20</f>
        <v>11603</v>
      </c>
      <c r="E20" s="301">
        <f t="shared" si="0"/>
        <v>14.983160718606664</v>
      </c>
      <c r="F20" s="151" t="s">
        <v>106</v>
      </c>
      <c r="G20" s="117">
        <f>[4]AC121PI_VIAR!D37</f>
        <v>264060.68575768161</v>
      </c>
      <c r="H20" s="300">
        <f>[4]AC121PI_VIAR!L20</f>
        <v>11572</v>
      </c>
      <c r="I20" s="301">
        <f t="shared" si="1"/>
        <v>22.818932402150157</v>
      </c>
      <c r="J20" s="151" t="s">
        <v>106</v>
      </c>
      <c r="K20" s="117">
        <f>[5]AC121PI_VIAR!D39</f>
        <v>327530.62780490634</v>
      </c>
      <c r="L20" s="300">
        <f>[5]AC121PI_VIAR!L22</f>
        <v>13052</v>
      </c>
      <c r="M20" s="301">
        <f t="shared" si="2"/>
        <v>25.094286531175786</v>
      </c>
      <c r="N20" s="151" t="s">
        <v>106</v>
      </c>
      <c r="O20" s="117">
        <f>[6]AC121PI_VIAR!D42</f>
        <v>430726.79326061008</v>
      </c>
      <c r="P20" s="300">
        <f>[6]AC121PI_VIAR!L25</f>
        <v>13122</v>
      </c>
      <c r="Q20" s="301">
        <f t="shared" si="3"/>
        <v>32.824782293904136</v>
      </c>
      <c r="R20" s="151" t="s">
        <v>106</v>
      </c>
      <c r="S20" s="117">
        <f>[7]AC121PI_VIAR!D36</f>
        <v>211702.66900156604</v>
      </c>
      <c r="T20" s="300">
        <f>[7]AC121PI_VIAR!L19</f>
        <v>10698</v>
      </c>
      <c r="U20" s="301">
        <f t="shared" si="4"/>
        <v>19.788995045949342</v>
      </c>
      <c r="V20" s="151" t="s">
        <v>106</v>
      </c>
      <c r="W20" s="117">
        <f>[8]AC121PI_VIAR!D37</f>
        <v>273033.38132172206</v>
      </c>
      <c r="X20" s="300">
        <f>[8]AC121PI_VIAR!L20</f>
        <v>10360</v>
      </c>
      <c r="Y20" s="301">
        <f t="shared" si="5"/>
        <v>26.354573486652708</v>
      </c>
      <c r="Z20" s="151" t="s">
        <v>106</v>
      </c>
      <c r="AA20" s="117">
        <f>[9]AC121PI_VIAR!D33</f>
        <v>298788.8527743608</v>
      </c>
      <c r="AB20" s="300">
        <f>[9]AC121PI_VIAR!L16</f>
        <v>7872</v>
      </c>
      <c r="AC20" s="301">
        <f t="shared" si="6"/>
        <v>37.95590101300315</v>
      </c>
      <c r="AD20" s="151" t="s">
        <v>106</v>
      </c>
      <c r="AE20" s="117">
        <f>[10]AC121PI_VIAR!D36</f>
        <v>269852.33420921926</v>
      </c>
      <c r="AF20" s="300">
        <f>[10]AC121PI_VIAR!L19</f>
        <v>10186</v>
      </c>
      <c r="AG20" s="301">
        <f t="shared" si="7"/>
        <v>26.492473415395569</v>
      </c>
      <c r="AH20" s="151" t="s">
        <v>106</v>
      </c>
      <c r="AI20" s="117">
        <f>[11]AC121PI_VIAR!D40</f>
        <v>533716.12152931234</v>
      </c>
      <c r="AJ20" s="300">
        <f>[11]AC121PI_VIAR!L23</f>
        <v>13524</v>
      </c>
      <c r="AK20" s="301">
        <f>AI20/AJ20</f>
        <v>39.464368643102063</v>
      </c>
      <c r="AL20" s="151" t="s">
        <v>106</v>
      </c>
      <c r="AM20" s="117">
        <f>[1]AC121PI_VIAR!D40</f>
        <v>428348.4895612229</v>
      </c>
      <c r="AN20" s="300">
        <f>[1]AC121PI_VIAR!L23</f>
        <v>13524</v>
      </c>
      <c r="AO20" s="301">
        <f t="shared" si="8"/>
        <v>31.673209816712724</v>
      </c>
      <c r="AP20" s="151" t="s">
        <v>106</v>
      </c>
      <c r="AQ20" s="117">
        <f>[2]AC121PI_VIAR!D43</f>
        <v>501855.44863211445</v>
      </c>
      <c r="AR20" s="300">
        <f>[2]AC121PI_VIAR!L26</f>
        <v>16311</v>
      </c>
      <c r="AS20" s="301">
        <f t="shared" si="9"/>
        <v>30.767914207106521</v>
      </c>
      <c r="AT20" s="151" t="s">
        <v>106</v>
      </c>
      <c r="AU20" s="117">
        <f>AC121PI_VIAR!D36</f>
        <v>338658.9547528596</v>
      </c>
      <c r="AV20" s="300">
        <f>AC121PI_VIAR!L19</f>
        <v>8076</v>
      </c>
      <c r="AW20" s="301">
        <f t="shared" si="10"/>
        <v>41.933996378511587</v>
      </c>
    </row>
    <row r="21" spans="1:49" x14ac:dyDescent="0.25">
      <c r="A21" s="302" t="s">
        <v>343</v>
      </c>
      <c r="B21" s="151" t="s">
        <v>187</v>
      </c>
      <c r="C21" s="117">
        <f>[3]AC121PJ_VIAR!D37</f>
        <v>166547.48783741466</v>
      </c>
      <c r="D21" s="300">
        <f>[3]AC121PJ_VIAR!L20</f>
        <v>11188</v>
      </c>
      <c r="E21" s="301">
        <f t="shared" si="0"/>
        <v>14.886260979389942</v>
      </c>
      <c r="F21" s="151" t="s">
        <v>187</v>
      </c>
      <c r="G21" s="117">
        <f>[4]AC121PJ_VIAR!D37</f>
        <v>169106.30918563818</v>
      </c>
      <c r="H21" s="300">
        <f>[4]AC121PJ_VIAR!L20</f>
        <v>11078</v>
      </c>
      <c r="I21" s="301">
        <f t="shared" si="1"/>
        <v>15.265057698649411</v>
      </c>
      <c r="J21" s="151" t="s">
        <v>187</v>
      </c>
      <c r="K21" s="117">
        <f>[5]AC121PJ_VIAR!D33</f>
        <v>38982.225743804185</v>
      </c>
      <c r="L21" s="300">
        <f>[5]AC121PJ_VIAR!L16</f>
        <v>8880</v>
      </c>
      <c r="M21" s="301">
        <f t="shared" si="2"/>
        <v>4.3898902864644356</v>
      </c>
      <c r="N21" s="151" t="s">
        <v>187</v>
      </c>
      <c r="O21" s="117">
        <f>[6]AC121PJ_VIAR!D38</f>
        <v>217082.34592130317</v>
      </c>
      <c r="P21" s="300">
        <f>[6]AC121PJ_VIAR!L21</f>
        <v>10960</v>
      </c>
      <c r="Q21" s="301">
        <f t="shared" si="3"/>
        <v>19.806783386980218</v>
      </c>
      <c r="R21" s="151" t="s">
        <v>187</v>
      </c>
      <c r="S21" s="117">
        <f>[7]AC121PJ_VIAR!D40</f>
        <v>171991.03437698918</v>
      </c>
      <c r="T21" s="300">
        <f>[7]AC121PJ_VIAR!L23</f>
        <v>12524</v>
      </c>
      <c r="U21" s="301">
        <f t="shared" si="4"/>
        <v>13.732915552298721</v>
      </c>
      <c r="V21" s="151" t="s">
        <v>187</v>
      </c>
      <c r="W21" s="117">
        <f>[8]AC121PJ_VIAR!D38</f>
        <v>187720.39569213896</v>
      </c>
      <c r="X21" s="300">
        <f>[8]AC121PJ_VIAR!L21</f>
        <v>8650</v>
      </c>
      <c r="Y21" s="301">
        <f t="shared" si="5"/>
        <v>21.701779848802193</v>
      </c>
      <c r="Z21" s="151" t="s">
        <v>187</v>
      </c>
      <c r="AA21" s="117">
        <f>[9]AC121PJ_VIAR!D32</f>
        <v>-15580.232746916503</v>
      </c>
      <c r="AB21" s="300">
        <f>[9]AC121PJ_VIAR!L15</f>
        <v>4972</v>
      </c>
      <c r="AC21" s="301">
        <f t="shared" si="6"/>
        <v>-3.1335946795889988</v>
      </c>
      <c r="AD21" s="151" t="s">
        <v>1104</v>
      </c>
      <c r="AE21" s="117">
        <f>[10]AC121PJ_VIAR!D23</f>
        <v>-403962.88086583541</v>
      </c>
      <c r="AF21" s="300" t="s">
        <v>1105</v>
      </c>
      <c r="AG21" s="301" t="s">
        <v>1105</v>
      </c>
      <c r="AH21" s="151" t="s">
        <v>1104</v>
      </c>
      <c r="AI21" s="117">
        <f>[11]AC121PJ_VIAR!D25</f>
        <v>-69626.983492357176</v>
      </c>
      <c r="AJ21" s="300">
        <f>[11]AC121PJ_VIAR!L8</f>
        <v>2155</v>
      </c>
      <c r="AK21" s="301" t="s">
        <v>1105</v>
      </c>
      <c r="AL21" s="151" t="s">
        <v>118</v>
      </c>
      <c r="AM21" s="117">
        <f>[1]AC121PJ_VIAR!D38</f>
        <v>655324.33540737419</v>
      </c>
      <c r="AN21" s="300">
        <f>[1]AC121PJ_VIAR!L21</f>
        <v>11776</v>
      </c>
      <c r="AO21" s="301">
        <f t="shared" si="8"/>
        <v>55.649145330109903</v>
      </c>
      <c r="AP21" s="151" t="s">
        <v>118</v>
      </c>
      <c r="AQ21" s="117">
        <f>[2]AC121PJ_VIAR!D40</f>
        <v>496497.31457300915</v>
      </c>
      <c r="AR21" s="300">
        <f>[2]AC121PJ_VIAR!L23</f>
        <v>13792</v>
      </c>
      <c r="AS21" s="301">
        <f t="shared" si="9"/>
        <v>35.998935221360874</v>
      </c>
      <c r="AT21" s="151" t="s">
        <v>118</v>
      </c>
      <c r="AU21" s="117">
        <f>AC121PJ_VIAR!D40</f>
        <v>560977.36047579453</v>
      </c>
      <c r="AV21" s="300">
        <f>AC121PJ_VIAR!L23</f>
        <v>13351</v>
      </c>
      <c r="AW21" s="301">
        <f t="shared" si="10"/>
        <v>42.017628677686652</v>
      </c>
    </row>
    <row r="22" spans="1:49" x14ac:dyDescent="0.25">
      <c r="A22" s="302" t="s">
        <v>344</v>
      </c>
      <c r="B22" s="151" t="s">
        <v>300</v>
      </c>
      <c r="C22" s="117">
        <f>[3]AC121PK_VIAR!D34</f>
        <v>188281.22764839788</v>
      </c>
      <c r="D22" s="300">
        <f>[3]AC121PK_VIAR!L17</f>
        <v>9396</v>
      </c>
      <c r="E22" s="301">
        <f t="shared" si="0"/>
        <v>20.03844483273711</v>
      </c>
      <c r="F22" s="151" t="s">
        <v>300</v>
      </c>
      <c r="G22" s="117">
        <f>[4]AC121PK_VIAR!D36</f>
        <v>45823.227138953749</v>
      </c>
      <c r="H22" s="300">
        <f>[4]AC121PK_VIAR!L19</f>
        <v>9570</v>
      </c>
      <c r="I22" s="301">
        <f t="shared" si="1"/>
        <v>4.7882160019805378</v>
      </c>
      <c r="J22" s="151" t="s">
        <v>300</v>
      </c>
      <c r="K22" s="117">
        <f>[5]AC121PK_VIAR!D40</f>
        <v>281389.36696990801</v>
      </c>
      <c r="L22" s="300">
        <f>[5]AC121PK_VIAR!L23</f>
        <v>11396</v>
      </c>
      <c r="M22" s="301">
        <f t="shared" si="2"/>
        <v>24.691941643551072</v>
      </c>
      <c r="N22" s="151" t="s">
        <v>300</v>
      </c>
      <c r="O22" s="117">
        <f>[6]AC121PK_VIAR!D36</f>
        <v>155350.60111728744</v>
      </c>
      <c r="P22" s="300">
        <f>[6]AC121PK_VIAR!L19</f>
        <v>9760</v>
      </c>
      <c r="Q22" s="301">
        <f t="shared" si="3"/>
        <v>15.917069786607319</v>
      </c>
      <c r="R22" s="151" t="s">
        <v>300</v>
      </c>
      <c r="S22" s="117">
        <f>[7]AC121PK_VIAR!D39</f>
        <v>221000.52480481006</v>
      </c>
      <c r="T22" s="300">
        <f>[7]AC121PK_VIAR!L22</f>
        <v>12668</v>
      </c>
      <c r="U22" s="301">
        <f t="shared" si="4"/>
        <v>17.445573476855863</v>
      </c>
      <c r="V22" s="151" t="s">
        <v>300</v>
      </c>
      <c r="W22" s="117">
        <f>[8]AC121PK_VIAR!D36</f>
        <v>154450.98540706848</v>
      </c>
      <c r="X22" s="300">
        <f>[8]AC121PK_VIAR!L19</f>
        <v>8166</v>
      </c>
      <c r="Y22" s="301">
        <f t="shared" si="5"/>
        <v>18.913909552665746</v>
      </c>
      <c r="Z22" s="151" t="s">
        <v>300</v>
      </c>
      <c r="AA22" s="117">
        <f>[9]AC121PK_VIAR!D31</f>
        <v>125659.94567114659</v>
      </c>
      <c r="AB22" s="300">
        <f>[9]AC121PK_VIAR!L14</f>
        <v>6154</v>
      </c>
      <c r="AC22" s="301">
        <f t="shared" si="6"/>
        <v>20.419230690794052</v>
      </c>
      <c r="AD22" s="151" t="s">
        <v>300</v>
      </c>
      <c r="AE22" s="117">
        <f>[10]AC121PK_VIAR!D37</f>
        <v>273531.5195178258</v>
      </c>
      <c r="AF22" s="300">
        <f>[10]AC121PK_VIAR!L20</f>
        <v>11248</v>
      </c>
      <c r="AG22" s="301">
        <f t="shared" si="7"/>
        <v>24.318236088000159</v>
      </c>
      <c r="AH22" s="151" t="s">
        <v>300</v>
      </c>
      <c r="AI22" s="117">
        <f>[11]AC121PK_VIAR!D34</f>
        <v>159565.04654370467</v>
      </c>
      <c r="AJ22" s="300">
        <f>[11]AC121PK_VIAR!L17</f>
        <v>9562</v>
      </c>
      <c r="AK22" s="301">
        <f>AI22/AJ22</f>
        <v>16.687413359517326</v>
      </c>
      <c r="AL22" s="151" t="s">
        <v>300</v>
      </c>
      <c r="AM22" s="117">
        <f>[1]AC121PK_VIAR!D29</f>
        <v>-265035.84778955136</v>
      </c>
      <c r="AN22" s="300">
        <f>[1]AC121PK_VIAR!L12</f>
        <v>6030</v>
      </c>
      <c r="AO22" s="301">
        <f t="shared" si="8"/>
        <v>-43.952876913690112</v>
      </c>
      <c r="AP22" s="151" t="s">
        <v>124</v>
      </c>
      <c r="AQ22" s="117">
        <f>[2]AC121PK_VIAR!D34</f>
        <v>263728.80845306197</v>
      </c>
      <c r="AR22" s="300">
        <f>[2]AC121PK_VIAR!L17</f>
        <v>9330</v>
      </c>
      <c r="AS22" s="301">
        <f t="shared" si="9"/>
        <v>28.26675331758435</v>
      </c>
      <c r="AT22" s="151" t="s">
        <v>124</v>
      </c>
      <c r="AU22" s="117">
        <f>AC121PK_VIAR!D40</f>
        <v>621328.00607606629</v>
      </c>
      <c r="AV22" s="300">
        <f>AC121PK_VIAR!L23</f>
        <v>13320</v>
      </c>
      <c r="AW22" s="301">
        <f t="shared" si="10"/>
        <v>46.646246702407382</v>
      </c>
    </row>
    <row r="23" spans="1:49" x14ac:dyDescent="0.25">
      <c r="A23" s="302" t="s">
        <v>345</v>
      </c>
      <c r="B23" s="151" t="s">
        <v>142</v>
      </c>
      <c r="C23" s="117">
        <f>[3]AD414GY_VIAR!D38</f>
        <v>313831.89572752104</v>
      </c>
      <c r="D23" s="300">
        <f>[3]AD414GY_VIAR!L21</f>
        <v>11642</v>
      </c>
      <c r="E23" s="301">
        <f t="shared" si="0"/>
        <v>26.9568713045457</v>
      </c>
      <c r="F23" s="151" t="s">
        <v>142</v>
      </c>
      <c r="G23" s="117">
        <f>[4]AD414GY_VIAR!D38</f>
        <v>232210.47639057305</v>
      </c>
      <c r="H23" s="300">
        <f>[4]AD414GY_VIAR!L21</f>
        <v>11910</v>
      </c>
      <c r="I23" s="301">
        <f t="shared" si="1"/>
        <v>19.497101292239552</v>
      </c>
      <c r="J23" s="151" t="s">
        <v>142</v>
      </c>
      <c r="K23" s="117">
        <f>[5]AD414GY_VIAR!D42</f>
        <v>447244.17429956567</v>
      </c>
      <c r="L23" s="300">
        <f>[5]AD414GY_VIAR!L25</f>
        <v>15540</v>
      </c>
      <c r="M23" s="301">
        <f t="shared" si="2"/>
        <v>28.780191396368448</v>
      </c>
      <c r="N23" s="151" t="s">
        <v>142</v>
      </c>
      <c r="O23" s="117">
        <f>[6]AD414GY_VIAR!D40</f>
        <v>318155.06817972084</v>
      </c>
      <c r="P23" s="300">
        <f>[6]AD414GY_VIAR!L23</f>
        <v>13524</v>
      </c>
      <c r="Q23" s="301">
        <f t="shared" si="3"/>
        <v>23.525219474986752</v>
      </c>
      <c r="R23" s="151" t="s">
        <v>142</v>
      </c>
      <c r="S23" s="117">
        <f>[7]AD414GY_VIAR!D38</f>
        <v>334576.89652626571</v>
      </c>
      <c r="T23" s="300">
        <f>[7]AD414GY_VIAR!L21</f>
        <v>11304</v>
      </c>
      <c r="U23" s="301">
        <f t="shared" si="4"/>
        <v>29.598097711099232</v>
      </c>
      <c r="V23" s="151" t="s">
        <v>142</v>
      </c>
      <c r="W23" s="117">
        <f>[8]AD414GY_VIAR!D36</f>
        <v>328950.65280076413</v>
      </c>
      <c r="X23" s="300">
        <f>[8]AD414GY_VIAR!L19</f>
        <v>7872</v>
      </c>
      <c r="Y23" s="301">
        <f t="shared" si="5"/>
        <v>41.78743048790195</v>
      </c>
      <c r="Z23" s="151" t="s">
        <v>142</v>
      </c>
      <c r="AA23" s="117">
        <f>[9]AD414GY_VIAR!D31</f>
        <v>200358.73219671368</v>
      </c>
      <c r="AB23" s="300">
        <f>[9]AD414GY_VIAR!L14</f>
        <v>7400</v>
      </c>
      <c r="AC23" s="301">
        <f t="shared" si="6"/>
        <v>27.075504350907256</v>
      </c>
      <c r="AD23" s="151" t="s">
        <v>142</v>
      </c>
      <c r="AE23" s="117">
        <f>[10]AD414GY_VIAR!D34</f>
        <v>221204.08739480848</v>
      </c>
      <c r="AF23" s="300">
        <f>[10]AD414GY_VIAR!L17</f>
        <v>9620</v>
      </c>
      <c r="AG23" s="301">
        <f t="shared" si="7"/>
        <v>22.994187878878218</v>
      </c>
      <c r="AH23" s="151" t="s">
        <v>142</v>
      </c>
      <c r="AI23" s="117">
        <f>[11]AD414GY_VIAR!D38</f>
        <v>459182.19376161176</v>
      </c>
      <c r="AJ23" s="300">
        <f>[11]AD414GY_VIAR!L21</f>
        <v>11804</v>
      </c>
      <c r="AK23" s="301">
        <f>AI23/AJ23</f>
        <v>38.900558603999642</v>
      </c>
      <c r="AL23" s="151" t="s">
        <v>142</v>
      </c>
      <c r="AM23" s="117">
        <f>[1]AD414GY_VIAR!D43</f>
        <v>628447.6440962567</v>
      </c>
      <c r="AN23" s="300">
        <f>[1]AD414GY_VIAR!L26</f>
        <v>15744</v>
      </c>
      <c r="AO23" s="301">
        <f t="shared" si="8"/>
        <v>39.916644060991914</v>
      </c>
      <c r="AP23" s="151" t="s">
        <v>142</v>
      </c>
      <c r="AQ23" s="117">
        <f>[2]AD414GY_VIAR!D42</f>
        <v>474904.94893788616</v>
      </c>
      <c r="AR23" s="300">
        <f>[2]AD414GY_VIAR!L25</f>
        <v>13728</v>
      </c>
      <c r="AS23" s="301">
        <f t="shared" si="9"/>
        <v>34.593891968086112</v>
      </c>
      <c r="AT23" s="151" t="s">
        <v>142</v>
      </c>
      <c r="AU23" s="117">
        <f>AD414GY_VIAR!D42</f>
        <v>580220.38717070816</v>
      </c>
      <c r="AV23" s="300">
        <f>AD414GY_VIAR!L25</f>
        <v>12988</v>
      </c>
      <c r="AW23" s="301">
        <f t="shared" si="10"/>
        <v>44.673574620473374</v>
      </c>
    </row>
    <row r="24" spans="1:49" x14ac:dyDescent="0.25">
      <c r="A24" s="302" t="s">
        <v>346</v>
      </c>
      <c r="B24" s="151" t="s">
        <v>442</v>
      </c>
      <c r="C24" s="117">
        <f>[3]AD414GZ_VIAR!D33</f>
        <v>27439.005802985062</v>
      </c>
      <c r="D24" s="300">
        <f>[3]AD414GZ_VIAR!L16</f>
        <v>6748</v>
      </c>
      <c r="E24" s="301">
        <f t="shared" si="0"/>
        <v>4.0662427093931628</v>
      </c>
      <c r="F24" s="151" t="s">
        <v>247</v>
      </c>
      <c r="G24" s="117">
        <f>[4]AD414GZ_VIAR!D40</f>
        <v>24118.004620482068</v>
      </c>
      <c r="H24" s="300">
        <f>[4]AD414GZ_VIAR!L23</f>
        <v>7295</v>
      </c>
      <c r="I24" s="301">
        <f t="shared" si="1"/>
        <v>3.3061007019166646</v>
      </c>
      <c r="J24" s="151" t="s">
        <v>147</v>
      </c>
      <c r="K24" s="117">
        <f>[5]AD414GZ_VIAR!D42</f>
        <v>131255.54507390139</v>
      </c>
      <c r="L24" s="300">
        <f>[5]AD414GZ_VIAR!L25</f>
        <v>7809.308</v>
      </c>
      <c r="M24" s="301">
        <f t="shared" si="2"/>
        <v>16.807576942016038</v>
      </c>
      <c r="N24" s="151" t="s">
        <v>317</v>
      </c>
      <c r="O24" s="117">
        <f>[6]AD414GZ_VIAR!D29</f>
        <v>-130122.16707547921</v>
      </c>
      <c r="P24" s="300">
        <f>[6]AD414GZ_VIAR!L12</f>
        <v>5776</v>
      </c>
      <c r="Q24" s="301">
        <f t="shared" si="3"/>
        <v>-22.528076017222855</v>
      </c>
      <c r="R24" s="151" t="s">
        <v>204</v>
      </c>
      <c r="S24" s="117">
        <f>[7]AD414GZ_VIAR!D42</f>
        <v>138849.59397599759</v>
      </c>
      <c r="T24" s="300">
        <f>[7]AD414GZ_VIAR!L25</f>
        <v>12174</v>
      </c>
      <c r="U24" s="301">
        <f t="shared" si="4"/>
        <v>11.40542089502198</v>
      </c>
      <c r="V24" s="151" t="s">
        <v>204</v>
      </c>
      <c r="W24" s="117">
        <f>[8]AD414GZ_VIAR!D32</f>
        <v>-533.24378613897716</v>
      </c>
      <c r="X24" s="300">
        <f>[8]AD414GZ_VIAR!L15</f>
        <v>5908</v>
      </c>
      <c r="Y24" s="301">
        <f t="shared" si="5"/>
        <v>-9.0257919116279145E-2</v>
      </c>
      <c r="Z24" s="151" t="s">
        <v>246</v>
      </c>
      <c r="AA24" s="117">
        <f>[9]AD414GZ_VIAR!D32</f>
        <v>127397.36058370641</v>
      </c>
      <c r="AB24" s="300">
        <f>[9]AD414GZ_VIAR!L15</f>
        <v>7160</v>
      </c>
      <c r="AC24" s="301">
        <f t="shared" si="6"/>
        <v>17.792927455824916</v>
      </c>
      <c r="AD24" s="151" t="s">
        <v>246</v>
      </c>
      <c r="AE24" s="117">
        <f>[10]AD414GZ_VIAR!D40</f>
        <v>162257.27010862602</v>
      </c>
      <c r="AF24" s="300">
        <f>[10]AD414GZ_VIAR!L23</f>
        <v>10722</v>
      </c>
      <c r="AG24" s="301">
        <f t="shared" si="7"/>
        <v>15.133116033261148</v>
      </c>
      <c r="AH24" s="151" t="s">
        <v>499</v>
      </c>
      <c r="AI24" s="117">
        <f>[11]AD414GZ_VIAR!D38</f>
        <v>53900.547199415669</v>
      </c>
      <c r="AJ24" s="300">
        <f>[11]AD414GZ_VIAR!L21</f>
        <v>11643</v>
      </c>
      <c r="AK24" s="301">
        <f>AI24/AJ24</f>
        <v>4.6294380485627133</v>
      </c>
      <c r="AL24" s="151" t="s">
        <v>499</v>
      </c>
      <c r="AM24" s="117">
        <f>[1]AD414GZ_VIAR!D30</f>
        <v>-55820.045875542084</v>
      </c>
      <c r="AN24" s="300">
        <f>[1]AD414GZ_VIAR!L13</f>
        <v>5953</v>
      </c>
      <c r="AO24" s="301">
        <f t="shared" si="8"/>
        <v>-9.3767925206689213</v>
      </c>
      <c r="AP24" s="151" t="s">
        <v>147</v>
      </c>
      <c r="AQ24" s="117">
        <f>[2]AD414GZ_VIAR!D41</f>
        <v>292243.32415204326</v>
      </c>
      <c r="AR24" s="300">
        <f>[2]AD414GZ_VIAR!L24</f>
        <v>11965</v>
      </c>
      <c r="AS24" s="301">
        <f t="shared" si="9"/>
        <v>24.424849490350461</v>
      </c>
      <c r="AT24" s="151" t="s">
        <v>147</v>
      </c>
      <c r="AU24" s="117">
        <f>AD414GZ_VIAR!D40</f>
        <v>330225.66435843857</v>
      </c>
      <c r="AV24" s="300">
        <f>AD414GZ_VIAR!L23</f>
        <v>10541</v>
      </c>
      <c r="AW24" s="301">
        <f t="shared" si="10"/>
        <v>31.32773592243986</v>
      </c>
    </row>
    <row r="25" spans="1:49" x14ac:dyDescent="0.25">
      <c r="A25" s="302" t="s">
        <v>347</v>
      </c>
      <c r="B25" s="151" t="s">
        <v>246</v>
      </c>
      <c r="C25" s="117">
        <f>[3]AD533SA_VIAR!D25</f>
        <v>-18515.023385113331</v>
      </c>
      <c r="D25" s="300">
        <f>[3]AD533SA_VIAR!L8</f>
        <v>2847</v>
      </c>
      <c r="E25" s="301">
        <f t="shared" si="0"/>
        <v>-6.5033450597517843</v>
      </c>
      <c r="F25" s="151" t="s">
        <v>147</v>
      </c>
      <c r="G25" s="117">
        <f>[4]AD533SA_VIAR!D28</f>
        <v>124089.85197301215</v>
      </c>
      <c r="H25" s="300">
        <f>[4]AD533SA_VIAR!L11</f>
        <v>3595</v>
      </c>
      <c r="I25" s="301">
        <f t="shared" si="1"/>
        <v>34.517344081505463</v>
      </c>
      <c r="J25" s="151" t="s">
        <v>438</v>
      </c>
      <c r="K25" s="117">
        <f>[5]AD533SA_VIAR!D40</f>
        <v>43573.785496553697</v>
      </c>
      <c r="L25" s="300">
        <f>[5]AD533SA_VIAR!L23</f>
        <v>8006</v>
      </c>
      <c r="M25" s="301">
        <f t="shared" si="2"/>
        <v>5.4426412061645886</v>
      </c>
      <c r="N25" s="151" t="s">
        <v>438</v>
      </c>
      <c r="O25" s="117">
        <f>[6]AD533SA_VIAR!D39</f>
        <v>-1704.6813457854223</v>
      </c>
      <c r="P25" s="300">
        <f>[6]AD533SA_VIAR!L22</f>
        <v>8512</v>
      </c>
      <c r="Q25" s="301">
        <f t="shared" si="3"/>
        <v>-0.20026801524734755</v>
      </c>
      <c r="R25" s="151" t="s">
        <v>147</v>
      </c>
      <c r="S25" s="117">
        <f>[7]AD533SA_VIAR!D44</f>
        <v>364080.27643651597</v>
      </c>
      <c r="T25" s="300">
        <f>[7]AD533SA_VIAR!L27</f>
        <v>13157</v>
      </c>
      <c r="U25" s="301">
        <f t="shared" si="4"/>
        <v>27.671982703999085</v>
      </c>
      <c r="V25" s="151" t="s">
        <v>147</v>
      </c>
      <c r="W25" s="117">
        <f>[8]AD533SA_VIAR!D36</f>
        <v>257368.27325897128</v>
      </c>
      <c r="X25" s="300">
        <f>[8]AD533SA_VIAR!L19</f>
        <v>9985</v>
      </c>
      <c r="Y25" s="301">
        <f t="shared" si="5"/>
        <v>25.775490561739737</v>
      </c>
      <c r="Z25" s="151" t="s">
        <v>147</v>
      </c>
      <c r="AA25" s="117">
        <f>[9]AD533SA_VIAR!D42</f>
        <v>350433.44092995115</v>
      </c>
      <c r="AB25" s="300">
        <f>[9]AD533SA_VIAR!L25</f>
        <v>11140</v>
      </c>
      <c r="AC25" s="301">
        <f t="shared" si="6"/>
        <v>31.45722090933134</v>
      </c>
      <c r="AD25" s="151" t="s">
        <v>147</v>
      </c>
      <c r="AE25" s="117">
        <f>[10]AD533SA_VIAR!D40</f>
        <v>257728.3972573166</v>
      </c>
      <c r="AF25" s="300">
        <f>[10]AD533SA_VIAR!L23</f>
        <v>10805</v>
      </c>
      <c r="AG25" s="301">
        <f t="shared" si="7"/>
        <v>23.852697571246331</v>
      </c>
      <c r="AH25" s="151" t="s">
        <v>292</v>
      </c>
      <c r="AI25" s="117">
        <f>[11]AD533SA_VIAR!D36</f>
        <v>-25589.380866809181</v>
      </c>
      <c r="AJ25" s="300">
        <f>[11]AD533SA_VIAR!L19</f>
        <v>8510</v>
      </c>
      <c r="AK25" s="301">
        <f>AI25/AJ25</f>
        <v>-3.0069777751832176</v>
      </c>
      <c r="AL25" s="151" t="s">
        <v>147</v>
      </c>
      <c r="AM25" s="117">
        <f>[1]AD533SA_VIAR!D46</f>
        <v>487569.17264134123</v>
      </c>
      <c r="AN25" s="300">
        <f>[1]AD533SA_VIAR!L29</f>
        <v>13179</v>
      </c>
      <c r="AO25" s="301">
        <f t="shared" si="8"/>
        <v>36.995915672004038</v>
      </c>
      <c r="AP25" s="151" t="s">
        <v>151</v>
      </c>
      <c r="AQ25" s="117">
        <f>[2]AD533SA_VIAR!D41</f>
        <v>219958.85157443071</v>
      </c>
      <c r="AR25" s="300">
        <f>[2]AD533SA_VIAR!L24</f>
        <v>12251</v>
      </c>
      <c r="AS25" s="301">
        <f t="shared" si="9"/>
        <v>17.954358956365251</v>
      </c>
      <c r="AT25" s="151" t="s">
        <v>151</v>
      </c>
      <c r="AU25" s="117">
        <f>AD533SA_VIAR!D46</f>
        <v>495632.42498569994</v>
      </c>
      <c r="AV25" s="300">
        <f>AD533SA_VIAR!L29</f>
        <v>13160</v>
      </c>
      <c r="AW25" s="301">
        <f t="shared" si="10"/>
        <v>37.662038372773551</v>
      </c>
    </row>
    <row r="26" spans="1:49" x14ac:dyDescent="0.25">
      <c r="A26" s="302" t="s">
        <v>1106</v>
      </c>
      <c r="B26" s="151" t="s">
        <v>1105</v>
      </c>
      <c r="C26" s="117">
        <f>[3]BCC975_VIAR!D33</f>
        <v>56620.636545924543</v>
      </c>
      <c r="D26" s="300">
        <f>[3]BCC975_VIAR!L16</f>
        <v>110</v>
      </c>
      <c r="E26" s="301">
        <f t="shared" si="0"/>
        <v>514.73305950840495</v>
      </c>
      <c r="F26" s="271" t="s">
        <v>1104</v>
      </c>
      <c r="G26" s="117">
        <f>[4]BCC975_VIAR!D22</f>
        <v>-59044.416548749068</v>
      </c>
      <c r="H26" s="300" t="s">
        <v>1105</v>
      </c>
      <c r="I26" s="301" t="s">
        <v>1105</v>
      </c>
      <c r="J26" s="271" t="s">
        <v>1104</v>
      </c>
      <c r="K26" s="117">
        <f>'[5]UNIDADES SIN USO'!K9</f>
        <v>-2288.8256644407338</v>
      </c>
      <c r="L26" s="300" t="s">
        <v>1105</v>
      </c>
      <c r="M26" s="301" t="s">
        <v>1105</v>
      </c>
      <c r="N26" s="271" t="s">
        <v>1104</v>
      </c>
      <c r="O26" s="117">
        <f>'[6]UNIDADES SIN USO'!B17</f>
        <v>-2176.395664440734</v>
      </c>
      <c r="P26" s="300" t="s">
        <v>1105</v>
      </c>
      <c r="Q26" s="301" t="s">
        <v>1105</v>
      </c>
      <c r="R26" s="151" t="s">
        <v>1104</v>
      </c>
      <c r="S26" s="117">
        <f>'[7]UNIDADES SIN USO'!E17</f>
        <v>-24818.915664440734</v>
      </c>
      <c r="T26" s="300" t="s">
        <v>1105</v>
      </c>
      <c r="U26" s="301" t="s">
        <v>1105</v>
      </c>
      <c r="V26" s="151" t="s">
        <v>1104</v>
      </c>
      <c r="W26" s="117">
        <f>'[8]UNIDADES SIN USO'!H17</f>
        <v>-2400.9456644407337</v>
      </c>
      <c r="X26" s="300" t="s">
        <v>1105</v>
      </c>
      <c r="Y26" s="301" t="s">
        <v>1105</v>
      </c>
      <c r="Z26" s="151" t="s">
        <v>1104</v>
      </c>
      <c r="AA26" s="117">
        <f>'[9]GASTOS TRACTOR'!H139</f>
        <v>24316.77</v>
      </c>
      <c r="AB26" s="300" t="s">
        <v>1105</v>
      </c>
      <c r="AC26" s="301" t="s">
        <v>1105</v>
      </c>
      <c r="AD26" s="151" t="s">
        <v>1104</v>
      </c>
      <c r="AE26" s="117">
        <f>'[10]UNIDADES SIN USO'!K9</f>
        <v>-2440.2756644407336</v>
      </c>
      <c r="AF26" s="300" t="s">
        <v>1105</v>
      </c>
      <c r="AG26" s="301" t="s">
        <v>1105</v>
      </c>
      <c r="AH26" s="151" t="s">
        <v>1104</v>
      </c>
      <c r="AI26" s="117">
        <f>'[11]UNIDADES SIN USO'!N9</f>
        <v>-1252.2356644407339</v>
      </c>
      <c r="AJ26" s="300" t="s">
        <v>1105</v>
      </c>
      <c r="AK26" s="301" t="s">
        <v>1105</v>
      </c>
      <c r="AL26" s="151" t="s">
        <v>1107</v>
      </c>
      <c r="AM26" s="117">
        <f>'[1]UNIDADES SIN USO'!N9</f>
        <v>-1252.2356644407339</v>
      </c>
      <c r="AN26" s="300" t="s">
        <v>1105</v>
      </c>
      <c r="AO26" s="301" t="s">
        <v>1105</v>
      </c>
      <c r="AP26" s="151" t="s">
        <v>1107</v>
      </c>
      <c r="AQ26" s="117">
        <f>'[2]UNIDADES SIN USO'!B17</f>
        <v>-33773.935843769759</v>
      </c>
      <c r="AR26" s="300" t="s">
        <v>1105</v>
      </c>
      <c r="AS26" s="301" t="s">
        <v>1105</v>
      </c>
      <c r="AT26" s="151" t="s">
        <v>1107</v>
      </c>
      <c r="AU26" s="117">
        <f>'UNIDADES SIN USO'!B17</f>
        <v>-1201.955843769766</v>
      </c>
      <c r="AV26" s="300" t="s">
        <v>1105</v>
      </c>
      <c r="AW26" s="301" t="s">
        <v>1105</v>
      </c>
    </row>
    <row r="27" spans="1:49" x14ac:dyDescent="0.25">
      <c r="A27" s="302" t="s">
        <v>348</v>
      </c>
      <c r="B27" s="151" t="s">
        <v>471</v>
      </c>
      <c r="C27" s="117">
        <f>[3]FWT827_VIAR!D25</f>
        <v>-50504.066500207962</v>
      </c>
      <c r="D27" s="300">
        <f>[3]FWT827_VIAR!L8</f>
        <v>1600</v>
      </c>
      <c r="E27" s="301">
        <f t="shared" si="0"/>
        <v>-31.565041562629975</v>
      </c>
      <c r="F27" s="151" t="s">
        <v>179</v>
      </c>
      <c r="G27" s="117">
        <f>[4]FWT827_VIAR!D40</f>
        <v>125847.88047567406</v>
      </c>
      <c r="H27" s="300">
        <f>[4]FWT827_VIAR!L23</f>
        <v>9603</v>
      </c>
      <c r="I27" s="301">
        <f t="shared" ref="I27:I41" si="11">G27/H27</f>
        <v>13.105058885314387</v>
      </c>
      <c r="J27" s="151" t="s">
        <v>179</v>
      </c>
      <c r="K27" s="117">
        <f>[5]FWT827_VIAR!D43</f>
        <v>231533.3729753462</v>
      </c>
      <c r="L27" s="300">
        <f>[5]FWT827_VIAR!L26</f>
        <v>11236</v>
      </c>
      <c r="M27" s="301">
        <f t="shared" ref="M27:M41" si="12">K27/L27</f>
        <v>20.606387769254734</v>
      </c>
      <c r="N27" s="151" t="s">
        <v>179</v>
      </c>
      <c r="O27" s="117">
        <f>[6]FWT827_VIAR!D39</f>
        <v>151208.40611227747</v>
      </c>
      <c r="P27" s="300">
        <f>[6]FWT827_VIAR!L22</f>
        <v>9843</v>
      </c>
      <c r="Q27" s="301">
        <f t="shared" ref="Q27:Q41" si="13">O27/P27</f>
        <v>15.362024394216954</v>
      </c>
      <c r="R27" s="151" t="s">
        <v>179</v>
      </c>
      <c r="S27" s="117">
        <f>[7]FWT827_VIAR!D39</f>
        <v>128681.08477286028</v>
      </c>
      <c r="T27" s="300">
        <f>[7]FWT827_VIAR!L22</f>
        <v>11091</v>
      </c>
      <c r="U27" s="301">
        <f t="shared" si="4"/>
        <v>11.60229778855471</v>
      </c>
      <c r="V27" s="151" t="s">
        <v>179</v>
      </c>
      <c r="W27" s="117">
        <f>[8]FWT827_VIAR!D40</f>
        <v>211311.74383674271</v>
      </c>
      <c r="X27" s="300">
        <f>[8]FWT827_VIAR!L23</f>
        <v>9129</v>
      </c>
      <c r="Y27" s="301">
        <f t="shared" ref="Y27:Y41" si="14">W27/X27</f>
        <v>23.147304615701906</v>
      </c>
      <c r="Z27" s="151" t="s">
        <v>247</v>
      </c>
      <c r="AA27" s="117">
        <f>[9]FWT827_VIAR!D45</f>
        <v>226519.07704297837</v>
      </c>
      <c r="AB27" s="300">
        <f>[9]FWT827_VIAR!L28</f>
        <v>8628</v>
      </c>
      <c r="AC27" s="301">
        <f t="shared" ref="AC27:AC41" si="15">AA27/AB27</f>
        <v>26.253949587735093</v>
      </c>
      <c r="AD27" s="151" t="s">
        <v>270</v>
      </c>
      <c r="AE27" s="117">
        <f>[10]FWT827_VIAR!D43</f>
        <v>214393.071876136</v>
      </c>
      <c r="AF27" s="300">
        <f>[10]FWT827_VIAR!L26</f>
        <v>8633</v>
      </c>
      <c r="AG27" s="301">
        <f t="shared" ref="AG27:AG41" si="16">AE27/AF27</f>
        <v>24.834133195428706</v>
      </c>
      <c r="AH27" s="151" t="s">
        <v>179</v>
      </c>
      <c r="AI27" s="117">
        <f>[11]FWT827_VIAR!D43</f>
        <v>274344.36345248995</v>
      </c>
      <c r="AJ27" s="300">
        <f>[11]FWT827_VIAR!L26</f>
        <v>10179</v>
      </c>
      <c r="AK27" s="301">
        <f t="shared" ref="AK27:AK41" si="17">AI27/AJ27</f>
        <v>26.951995623586793</v>
      </c>
      <c r="AL27" s="151" t="s">
        <v>270</v>
      </c>
      <c r="AM27" s="117">
        <f>[1]FWT827_VIAR!D43</f>
        <v>295635.00575936632</v>
      </c>
      <c r="AN27" s="300">
        <f>[1]FWT827_VIAR!L26</f>
        <v>9233</v>
      </c>
      <c r="AO27" s="301">
        <f t="shared" ref="AO27:AO41" si="18">AM27/AN27</f>
        <v>32.019387605260079</v>
      </c>
      <c r="AP27" s="151" t="s">
        <v>175</v>
      </c>
      <c r="AQ27" s="117">
        <f>[2]FWT827_VIAR!D49</f>
        <v>186387.28939250094</v>
      </c>
      <c r="AR27" s="300">
        <f>[2]FWT827_VIAR!L32</f>
        <v>8513</v>
      </c>
      <c r="AS27" s="301">
        <f t="shared" si="9"/>
        <v>21.894430799072119</v>
      </c>
      <c r="AT27" s="151" t="s">
        <v>175</v>
      </c>
      <c r="AU27" s="117">
        <f>FWT827_VIAR!D53</f>
        <v>255064.67457885135</v>
      </c>
      <c r="AV27" s="300">
        <f>FWT827_VIAR!L36</f>
        <v>9820</v>
      </c>
      <c r="AW27" s="301">
        <f t="shared" si="10"/>
        <v>25.973999447948202</v>
      </c>
    </row>
    <row r="28" spans="1:49" x14ac:dyDescent="0.25">
      <c r="A28" s="302" t="s">
        <v>349</v>
      </c>
      <c r="B28" s="151" t="s">
        <v>249</v>
      </c>
      <c r="C28" s="117">
        <f>[3]HWF024_VIAR!D39</f>
        <v>72095.891459992796</v>
      </c>
      <c r="D28" s="300">
        <f>[3]HWF024_VIAR!L22</f>
        <v>10423</v>
      </c>
      <c r="E28" s="301">
        <f t="shared" si="0"/>
        <v>6.9170000441324762</v>
      </c>
      <c r="F28" s="151" t="s">
        <v>249</v>
      </c>
      <c r="G28" s="117">
        <f>[4]HWF024_VIAR!D37</f>
        <v>-73718.822996089817</v>
      </c>
      <c r="H28" s="300">
        <f>[4]HWF024_VIAR!L20</f>
        <v>8651</v>
      </c>
      <c r="I28" s="301">
        <f t="shared" si="11"/>
        <v>-8.5214221472765939</v>
      </c>
      <c r="J28" s="151" t="s">
        <v>249</v>
      </c>
      <c r="K28" s="117">
        <f>[5]HWF024_VIAR!D37</f>
        <v>-42230.940282367199</v>
      </c>
      <c r="L28" s="300">
        <f>[5]HWF024_VIAR!L20</f>
        <v>8607</v>
      </c>
      <c r="M28" s="301">
        <f t="shared" si="12"/>
        <v>-4.9065807229426284</v>
      </c>
      <c r="N28" s="151" t="s">
        <v>249</v>
      </c>
      <c r="O28" s="117">
        <f>[6]HWF024_VIAR!D35</f>
        <v>130978.76265739565</v>
      </c>
      <c r="P28" s="300">
        <f>[6]HWF024_VIAR!L18</f>
        <v>9004</v>
      </c>
      <c r="Q28" s="301">
        <f t="shared" si="13"/>
        <v>14.546730637205203</v>
      </c>
      <c r="R28" s="151" t="s">
        <v>452</v>
      </c>
      <c r="S28" s="117">
        <f>[7]HWF024_VIAR!D32</f>
        <v>178332.89883838734</v>
      </c>
      <c r="T28" s="300">
        <f>[7]HWF024_VIAR!L15</f>
        <v>8071</v>
      </c>
      <c r="U28" s="301">
        <f t="shared" si="4"/>
        <v>22.095514662171645</v>
      </c>
      <c r="V28" s="151" t="s">
        <v>249</v>
      </c>
      <c r="W28" s="117">
        <f>[8]HWF024_VIAR!D42</f>
        <v>66294.279709102353</v>
      </c>
      <c r="X28" s="300">
        <f>[8]HWF024_VIAR!L25</f>
        <v>12150</v>
      </c>
      <c r="Y28" s="301">
        <f t="shared" si="14"/>
        <v>5.4563193176215927</v>
      </c>
      <c r="Z28" s="151" t="s">
        <v>249</v>
      </c>
      <c r="AA28" s="117">
        <f>[9]HWF024_VIAR!D36</f>
        <v>163752.56510194927</v>
      </c>
      <c r="AB28" s="300">
        <f>[9]HWF024_VIAR!L19</f>
        <v>9564</v>
      </c>
      <c r="AC28" s="301">
        <f t="shared" si="15"/>
        <v>17.12176548535647</v>
      </c>
      <c r="AD28" s="151" t="s">
        <v>249</v>
      </c>
      <c r="AE28" s="117">
        <f>[10]HWF024_VIAR!D28</f>
        <v>7593.0471830762981</v>
      </c>
      <c r="AF28" s="300">
        <f>[10]HWF024_VIAR!L11</f>
        <v>4040</v>
      </c>
      <c r="AG28" s="301">
        <f t="shared" si="16"/>
        <v>1.8794671245238361</v>
      </c>
      <c r="AH28" s="151" t="s">
        <v>175</v>
      </c>
      <c r="AI28" s="117">
        <f>[11]HWF024_VIAR!D47</f>
        <v>357742.00350028632</v>
      </c>
      <c r="AJ28" s="300">
        <f>[11]HWF024_VIAR!L30</f>
        <v>11447</v>
      </c>
      <c r="AK28" s="301">
        <f t="shared" si="17"/>
        <v>31.252031405633467</v>
      </c>
      <c r="AL28" s="151" t="s">
        <v>204</v>
      </c>
      <c r="AM28" s="117">
        <f>[1]HWF024_VIAR!D41</f>
        <v>222787.12288335687</v>
      </c>
      <c r="AN28" s="300">
        <f>[1]HWF024_VIAR!L24</f>
        <v>10750</v>
      </c>
      <c r="AO28" s="301">
        <f t="shared" si="18"/>
        <v>20.724383524033197</v>
      </c>
      <c r="AP28" s="151" t="s">
        <v>200</v>
      </c>
      <c r="AQ28" s="117">
        <f>[2]HWF024_VIAR!D30</f>
        <v>776044.36575038487</v>
      </c>
      <c r="AR28" s="300">
        <f>[2]HWF024_VIAR!L13</f>
        <v>10570</v>
      </c>
      <c r="AS28" s="301">
        <f t="shared" si="9"/>
        <v>73.419523722836786</v>
      </c>
      <c r="AT28" s="151" t="s">
        <v>204</v>
      </c>
      <c r="AU28" s="117">
        <f>HWF024_VIAR!D32</f>
        <v>373180.65894443792</v>
      </c>
      <c r="AV28" s="300">
        <f>HWF024_VIAR!L15</f>
        <v>9911</v>
      </c>
      <c r="AW28" s="301">
        <f t="shared" si="10"/>
        <v>37.65317918922792</v>
      </c>
    </row>
    <row r="29" spans="1:49" x14ac:dyDescent="0.25">
      <c r="A29" s="302" t="s">
        <v>350</v>
      </c>
      <c r="B29" s="151" t="s">
        <v>80</v>
      </c>
      <c r="C29" s="117">
        <f>[3]HWF026_VIAR!D48</f>
        <v>140797.03144823015</v>
      </c>
      <c r="D29" s="300">
        <f>[3]HWF026_VIAR!L31</f>
        <v>12137</v>
      </c>
      <c r="E29" s="301">
        <f t="shared" si="0"/>
        <v>11.600645254035605</v>
      </c>
      <c r="F29" s="151" t="s">
        <v>80</v>
      </c>
      <c r="G29" s="117">
        <f>[4]HWF026_VIAR!D37</f>
        <v>408584.22215137392</v>
      </c>
      <c r="H29" s="300">
        <f>[4]HWF026_VIAR!L20</f>
        <v>8393</v>
      </c>
      <c r="I29" s="301">
        <f t="shared" si="11"/>
        <v>48.681546783197177</v>
      </c>
      <c r="J29" s="151" t="s">
        <v>80</v>
      </c>
      <c r="K29" s="117">
        <f>[5]HWF026_VIAR!D36</f>
        <v>231203.75323571989</v>
      </c>
      <c r="L29" s="300">
        <f>[5]HWF026_VIAR!L19</f>
        <v>9758</v>
      </c>
      <c r="M29" s="301">
        <f t="shared" si="12"/>
        <v>23.693764422598882</v>
      </c>
      <c r="N29" s="151" t="s">
        <v>80</v>
      </c>
      <c r="O29" s="117">
        <f>[6]HWF026_VIAR!D32</f>
        <v>40623.110422091238</v>
      </c>
      <c r="P29" s="300">
        <f>[6]HWF026_VIAR!L15</f>
        <v>6286</v>
      </c>
      <c r="Q29" s="301">
        <f t="shared" si="13"/>
        <v>6.4624738183409542</v>
      </c>
      <c r="R29" s="151" t="s">
        <v>80</v>
      </c>
      <c r="S29" s="117">
        <f>[7]HWF026_VIAR!D35</f>
        <v>384453.58473745937</v>
      </c>
      <c r="T29" s="300">
        <f>[7]HWF026_VIAR!L18</f>
        <v>10335</v>
      </c>
      <c r="U29" s="301">
        <f t="shared" si="4"/>
        <v>37.199185751084606</v>
      </c>
      <c r="V29" s="151" t="s">
        <v>80</v>
      </c>
      <c r="W29" s="117">
        <f>[8]HWF026_VIAR!D38</f>
        <v>207657.25211181707</v>
      </c>
      <c r="X29" s="300">
        <f>[8]HWF026_VIAR!L21</f>
        <v>11439</v>
      </c>
      <c r="Y29" s="301">
        <f t="shared" si="14"/>
        <v>18.153444541639747</v>
      </c>
      <c r="Z29" s="151" t="s">
        <v>80</v>
      </c>
      <c r="AA29" s="117">
        <f>[9]HWF026_VIAR!D41</f>
        <v>-197.1226480427722</v>
      </c>
      <c r="AB29" s="300">
        <f>[9]HWF026_VIAR!L24</f>
        <v>9922</v>
      </c>
      <c r="AC29" s="301">
        <f t="shared" si="15"/>
        <v>-1.986722919197462E-2</v>
      </c>
      <c r="AD29" s="151" t="s">
        <v>80</v>
      </c>
      <c r="AE29" s="117">
        <f>[10]HWF026_VIAR!D45</f>
        <v>243311.77677751126</v>
      </c>
      <c r="AF29" s="300">
        <f>[10]HWF026_VIAR!L28</f>
        <v>11727</v>
      </c>
      <c r="AG29" s="301">
        <f t="shared" si="16"/>
        <v>20.747998360834934</v>
      </c>
      <c r="AH29" s="151" t="s">
        <v>80</v>
      </c>
      <c r="AI29" s="117">
        <f>[11]HWF026_VIAR!D33</f>
        <v>-76314.402533187385</v>
      </c>
      <c r="AJ29" s="300">
        <f>[11]HWF026_VIAR!L16</f>
        <v>3384</v>
      </c>
      <c r="AK29" s="301">
        <f t="shared" si="17"/>
        <v>-22.551537391603837</v>
      </c>
      <c r="AL29" s="151" t="s">
        <v>200</v>
      </c>
      <c r="AM29" s="117">
        <f>[1]HWF026_VIAR!D29</f>
        <v>250735.29297518186</v>
      </c>
      <c r="AN29" s="300">
        <f>[1]HWF026_VIAR!L12</f>
        <v>6686</v>
      </c>
      <c r="AO29" s="301">
        <f t="shared" si="18"/>
        <v>37.501539481780114</v>
      </c>
      <c r="AP29" s="151" t="s">
        <v>204</v>
      </c>
      <c r="AQ29" s="117">
        <f>[2]HWF026_VIAR!D35</f>
        <v>46856.314296440571</v>
      </c>
      <c r="AR29" s="300">
        <f>[2]HWF026_VIAR!L18</f>
        <v>7971</v>
      </c>
      <c r="AS29" s="301">
        <f t="shared" si="9"/>
        <v>5.8783482996412708</v>
      </c>
      <c r="AT29" s="151" t="s">
        <v>200</v>
      </c>
      <c r="AU29" s="117">
        <f>HWF026_VIAR!D36</f>
        <v>739739.82431674423</v>
      </c>
      <c r="AV29" s="300">
        <f>HWF026_VIAR!L19</f>
        <v>12067</v>
      </c>
      <c r="AW29" s="301">
        <f t="shared" si="10"/>
        <v>61.302711885037226</v>
      </c>
    </row>
    <row r="30" spans="1:49" x14ac:dyDescent="0.25">
      <c r="A30" s="302" t="s">
        <v>351</v>
      </c>
      <c r="B30" s="151" t="s">
        <v>147</v>
      </c>
      <c r="C30" s="117">
        <f>[3]JRY934_VIAR!D34</f>
        <v>176727.92035418405</v>
      </c>
      <c r="D30" s="300">
        <f>[3]JRY934_VIAR!L17</f>
        <v>7621</v>
      </c>
      <c r="E30" s="301">
        <f t="shared" si="0"/>
        <v>23.189597212201029</v>
      </c>
      <c r="F30" s="151" t="s">
        <v>1105</v>
      </c>
      <c r="G30" s="117">
        <f>[4]JRY934_VIAR!D35</f>
        <v>-90053.706042153164</v>
      </c>
      <c r="H30" s="300">
        <f>[4]JRY934_VIAR!L18</f>
        <v>6008</v>
      </c>
      <c r="I30" s="301">
        <f t="shared" si="11"/>
        <v>-14.988965719399662</v>
      </c>
      <c r="J30" s="151" t="s">
        <v>499</v>
      </c>
      <c r="K30" s="117">
        <f>[5]JRY934_VIAR!D31</f>
        <v>-48694.71465714927</v>
      </c>
      <c r="L30" s="300">
        <f>[5]JRY934_VIAR!L14</f>
        <v>4861</v>
      </c>
      <c r="M30" s="301">
        <f t="shared" si="12"/>
        <v>-10.017427413525873</v>
      </c>
      <c r="N30" s="151" t="s">
        <v>147</v>
      </c>
      <c r="O30" s="117">
        <f>[6]JRY934_VIAR!D41</f>
        <v>157484.46469368227</v>
      </c>
      <c r="P30" s="300">
        <f>[6]JRY934_VIAR!L24</f>
        <v>9481</v>
      </c>
      <c r="Q30" s="301">
        <f t="shared" si="13"/>
        <v>16.610533139297782</v>
      </c>
      <c r="R30" s="151" t="s">
        <v>438</v>
      </c>
      <c r="S30" s="117">
        <f>[7]JRY934_VIAR!D34</f>
        <v>-14658.623704857295</v>
      </c>
      <c r="T30" s="300">
        <f>[7]JRY934_VIAR!L17</f>
        <v>7100</v>
      </c>
      <c r="U30" s="301">
        <f t="shared" si="4"/>
        <v>-2.0645948880080698</v>
      </c>
      <c r="V30" s="151" t="s">
        <v>270</v>
      </c>
      <c r="W30" s="117">
        <f>[8]JRY934_VIAR!D42</f>
        <v>217062.36736996772</v>
      </c>
      <c r="X30" s="300">
        <f>[8]JRY934_VIAR!L25</f>
        <v>13168</v>
      </c>
      <c r="Y30" s="301">
        <f t="shared" si="14"/>
        <v>16.484080146564985</v>
      </c>
      <c r="Z30" s="151" t="s">
        <v>270</v>
      </c>
      <c r="AA30" s="117">
        <f>[9]JRY934_VIAR!D31</f>
        <v>59030.552188771049</v>
      </c>
      <c r="AB30" s="300">
        <f>[9]JRY934_VIAR!L14</f>
        <v>6753</v>
      </c>
      <c r="AC30" s="301">
        <f t="shared" si="15"/>
        <v>8.7413819322924695</v>
      </c>
      <c r="AD30" s="151" t="s">
        <v>229</v>
      </c>
      <c r="AE30" s="117">
        <f>[10]JRY934_VIAR!D37</f>
        <v>22951.413023364497</v>
      </c>
      <c r="AF30" s="300">
        <f>[10]JRY934_VIAR!L20</f>
        <v>8751</v>
      </c>
      <c r="AG30" s="301">
        <f t="shared" si="16"/>
        <v>2.6227188919397211</v>
      </c>
      <c r="AH30" s="151" t="s">
        <v>229</v>
      </c>
      <c r="AI30" s="117">
        <f>[11]JRY934_VIAR!D31</f>
        <v>55867.232177782644</v>
      </c>
      <c r="AJ30" s="300">
        <f>[11]JRY934_VIAR!L14</f>
        <v>6159</v>
      </c>
      <c r="AK30" s="301">
        <f t="shared" si="17"/>
        <v>9.0708284100962242</v>
      </c>
      <c r="AL30" s="151" t="s">
        <v>229</v>
      </c>
      <c r="AM30" s="117">
        <f>[1]JRY934_VIAR!D43</f>
        <v>477966.06955513742</v>
      </c>
      <c r="AN30" s="300">
        <f>[1]JRY934_VIAR!L26</f>
        <v>11565</v>
      </c>
      <c r="AO30" s="301">
        <f t="shared" si="18"/>
        <v>41.328670086912012</v>
      </c>
      <c r="AP30" s="151" t="s">
        <v>229</v>
      </c>
      <c r="AQ30" s="117">
        <f>[2]JRY934_VIAR!D43</f>
        <v>556620.17069985648</v>
      </c>
      <c r="AR30" s="300">
        <f>[2]JRY934_VIAR!L26</f>
        <v>11872</v>
      </c>
      <c r="AS30" s="301">
        <f t="shared" si="9"/>
        <v>46.885122195068774</v>
      </c>
      <c r="AT30" s="151" t="s">
        <v>229</v>
      </c>
      <c r="AU30" s="117">
        <f>JRY934_VIAR!D43</f>
        <v>395984.86556961277</v>
      </c>
      <c r="AV30" s="300">
        <f>JRY934_VIAR!L26</f>
        <v>12445</v>
      </c>
      <c r="AW30" s="301">
        <f t="shared" si="10"/>
        <v>31.818791930061291</v>
      </c>
    </row>
    <row r="31" spans="1:49" x14ac:dyDescent="0.25">
      <c r="A31" s="302" t="s">
        <v>352</v>
      </c>
      <c r="B31" s="151" t="s">
        <v>232</v>
      </c>
      <c r="C31" s="117">
        <f>[3]JZP219_VIAR!D34</f>
        <v>167332.08271511164</v>
      </c>
      <c r="D31" s="300">
        <f>[3]JZP219_VIAR!L17</f>
        <v>8936</v>
      </c>
      <c r="E31" s="301">
        <f t="shared" si="0"/>
        <v>18.725613553615894</v>
      </c>
      <c r="F31" s="151" t="s">
        <v>232</v>
      </c>
      <c r="G31" s="117">
        <f>[4]JZP219_VIAR!D37</f>
        <v>192527.99207791261</v>
      </c>
      <c r="H31" s="300">
        <f>[4]JZP219_VIAR!L20</f>
        <v>11438</v>
      </c>
      <c r="I31" s="301">
        <f t="shared" si="11"/>
        <v>16.832312648882027</v>
      </c>
      <c r="J31" s="151" t="s">
        <v>232</v>
      </c>
      <c r="K31" s="117">
        <f>[5]JZP219_VIAR!D35</f>
        <v>166555.59973170247</v>
      </c>
      <c r="L31" s="300">
        <f>[5]JZP219_VIAR!L18</f>
        <v>10008</v>
      </c>
      <c r="M31" s="301">
        <f t="shared" si="12"/>
        <v>16.642246176229264</v>
      </c>
      <c r="N31" s="151" t="s">
        <v>232</v>
      </c>
      <c r="O31" s="117">
        <f>[6]JZP219_VIAR!D34</f>
        <v>93687.631783920951</v>
      </c>
      <c r="P31" s="300">
        <f>[6]JZP219_VIAR!L17</f>
        <v>8410</v>
      </c>
      <c r="Q31" s="301">
        <f t="shared" si="13"/>
        <v>11.140027560513788</v>
      </c>
      <c r="R31" s="151" t="s">
        <v>232</v>
      </c>
      <c r="S31" s="117">
        <f>[7]JZP219_VIAR!D37</f>
        <v>180787.05729579076</v>
      </c>
      <c r="T31" s="300">
        <f>[7]JZP219_VIAR!L20</f>
        <v>10178</v>
      </c>
      <c r="U31" s="301">
        <f t="shared" si="4"/>
        <v>17.762532648436899</v>
      </c>
      <c r="V31" s="151" t="s">
        <v>232</v>
      </c>
      <c r="W31" s="117">
        <f>[8]JZP219_VIAR!D37</f>
        <v>97254.848507117829</v>
      </c>
      <c r="X31" s="300">
        <f>[8]JZP219_VIAR!L20</f>
        <v>8174</v>
      </c>
      <c r="Y31" s="301">
        <f t="shared" si="14"/>
        <v>11.898072976158286</v>
      </c>
      <c r="Z31" s="151" t="s">
        <v>232</v>
      </c>
      <c r="AA31" s="117">
        <f>[9]JZP219_VIAR!D32</f>
        <v>121092.71532535777</v>
      </c>
      <c r="AB31" s="300">
        <f>[9]JZP219_VIAR!L15</f>
        <v>6160</v>
      </c>
      <c r="AC31" s="301">
        <f t="shared" si="15"/>
        <v>19.657908332038598</v>
      </c>
      <c r="AD31" s="151" t="s">
        <v>232</v>
      </c>
      <c r="AE31" s="117">
        <f>[10]JZP219_VIAR!D35</f>
        <v>257704.99577014663</v>
      </c>
      <c r="AF31" s="300">
        <f>[10]JZP219_VIAR!L18</f>
        <v>9130</v>
      </c>
      <c r="AG31" s="301">
        <f t="shared" si="16"/>
        <v>28.226176973729096</v>
      </c>
      <c r="AH31" s="151" t="s">
        <v>232</v>
      </c>
      <c r="AI31" s="117">
        <f>[11]JZP219_VIAR!D33</f>
        <v>195728.97536161434</v>
      </c>
      <c r="AJ31" s="300">
        <f>[11]JZP219_VIAR!L16</f>
        <v>8320</v>
      </c>
      <c r="AK31" s="301">
        <f t="shared" si="17"/>
        <v>23.525117230963261</v>
      </c>
      <c r="AL31" s="151" t="s">
        <v>232</v>
      </c>
      <c r="AM31" s="117">
        <f>[1]JZP219_VIAR!D40</f>
        <v>363319.67935564206</v>
      </c>
      <c r="AN31" s="300">
        <f>[1]JZP219_VIAR!L23</f>
        <v>10948</v>
      </c>
      <c r="AO31" s="301">
        <f t="shared" si="18"/>
        <v>33.185940752250829</v>
      </c>
      <c r="AP31" s="151" t="s">
        <v>232</v>
      </c>
      <c r="AQ31" s="117">
        <f>[2]JZP219_VIAR!D33</f>
        <v>-45926.351298884314</v>
      </c>
      <c r="AR31" s="300">
        <f>[2]JZP219_VIAR!L16</f>
        <v>8724</v>
      </c>
      <c r="AS31" s="301">
        <f t="shared" si="9"/>
        <v>-5.2643685578730297</v>
      </c>
      <c r="AT31" s="151" t="s">
        <v>232</v>
      </c>
      <c r="AU31" s="117">
        <f>JZP219_VIAR!D37</f>
        <v>225419.67026095506</v>
      </c>
      <c r="AV31" s="300">
        <f>JZP219_VIAR!L20</f>
        <v>11096</v>
      </c>
      <c r="AW31" s="301">
        <f t="shared" si="10"/>
        <v>20.315399266488381</v>
      </c>
    </row>
    <row r="32" spans="1:49" x14ac:dyDescent="0.25">
      <c r="A32" s="302" t="s">
        <v>353</v>
      </c>
      <c r="B32" s="151" t="s">
        <v>183</v>
      </c>
      <c r="C32" s="117">
        <f>[3]KMU569_VIAR!D32</f>
        <v>-91927.423862837939</v>
      </c>
      <c r="D32" s="300">
        <f>[3]KMU569_VIAR!L15</f>
        <v>5914</v>
      </c>
      <c r="E32" s="301">
        <f t="shared" si="0"/>
        <v>-15.544035147588424</v>
      </c>
      <c r="F32" s="151" t="s">
        <v>279</v>
      </c>
      <c r="G32" s="117">
        <f>[4]KMU569_VIAR!D30</f>
        <v>-81092.729274290381</v>
      </c>
      <c r="H32" s="300">
        <f>[4]KMU569_VIAR!L13</f>
        <v>5236</v>
      </c>
      <c r="I32" s="301">
        <f t="shared" si="11"/>
        <v>-15.487534238787315</v>
      </c>
      <c r="J32" s="151" t="s">
        <v>286</v>
      </c>
      <c r="K32" s="117">
        <f>[5]KMU569_VIAR!D39</f>
        <v>42224.880940016563</v>
      </c>
      <c r="L32" s="300">
        <f>[5]KMU569_VIAR!L22</f>
        <v>7816</v>
      </c>
      <c r="M32" s="301">
        <f t="shared" si="12"/>
        <v>5.4023645010256605</v>
      </c>
      <c r="N32" s="151" t="s">
        <v>286</v>
      </c>
      <c r="O32" s="117">
        <f>[6]KMU569_VIAR!D37</f>
        <v>74833.341952253482</v>
      </c>
      <c r="P32" s="300">
        <f>[6]KMU569_VIAR!L20</f>
        <v>9249</v>
      </c>
      <c r="Q32" s="301">
        <f t="shared" si="13"/>
        <v>8.0909657208620906</v>
      </c>
      <c r="R32" s="151" t="s">
        <v>286</v>
      </c>
      <c r="S32" s="117">
        <f>[7]KMU569_VIAR!D47</f>
        <v>179904.40030123328</v>
      </c>
      <c r="T32" s="300">
        <f>[7]KMU569_VIAR!L30</f>
        <v>12853</v>
      </c>
      <c r="U32" s="301">
        <f t="shared" si="4"/>
        <v>13.997074636367641</v>
      </c>
      <c r="V32" s="151" t="s">
        <v>286</v>
      </c>
      <c r="W32" s="117">
        <f>[8]KMU569_VIAR!D32</f>
        <v>-6246.3559951046336</v>
      </c>
      <c r="X32" s="300">
        <f>[8]KMU569_VIAR!L15</f>
        <v>4596</v>
      </c>
      <c r="Y32" s="301">
        <f t="shared" si="14"/>
        <v>-1.3590852904927402</v>
      </c>
      <c r="Z32" s="151" t="s">
        <v>204</v>
      </c>
      <c r="AA32" s="117">
        <f>[9]KMU569_VIAR!D36</f>
        <v>69807.41046218836</v>
      </c>
      <c r="AB32" s="300">
        <f>[9]KMU569_VIAR!L19</f>
        <v>8425</v>
      </c>
      <c r="AC32" s="301">
        <f t="shared" si="15"/>
        <v>8.2857460489244339</v>
      </c>
      <c r="AD32" s="151" t="s">
        <v>247</v>
      </c>
      <c r="AE32" s="117">
        <f>[10]KMU569_VIAR!D43</f>
        <v>103397.17363601163</v>
      </c>
      <c r="AF32" s="300">
        <f>[10]KMU569_VIAR!L26</f>
        <v>7898</v>
      </c>
      <c r="AG32" s="301">
        <f t="shared" si="16"/>
        <v>13.091564147380556</v>
      </c>
      <c r="AH32" s="151" t="s">
        <v>147</v>
      </c>
      <c r="AI32" s="117">
        <f>[11]KMU569_VIAR!D35</f>
        <v>111737.92606375332</v>
      </c>
      <c r="AJ32" s="300">
        <f>[11]KMU569_VIAR!L18</f>
        <v>8319</v>
      </c>
      <c r="AK32" s="301">
        <f t="shared" si="17"/>
        <v>13.431653571793884</v>
      </c>
      <c r="AL32" s="151" t="s">
        <v>246</v>
      </c>
      <c r="AM32" s="117">
        <f>[1]KMU569_VIAR!D29</f>
        <v>21776.002192111016</v>
      </c>
      <c r="AN32" s="300">
        <f>[1]KMU569_VIAR!L12</f>
        <v>3228</v>
      </c>
      <c r="AO32" s="301">
        <f t="shared" si="18"/>
        <v>6.7459734176304265</v>
      </c>
      <c r="AP32" s="151" t="s">
        <v>1105</v>
      </c>
      <c r="AQ32" s="117">
        <f>[2]KMU569_VIAR!D30</f>
        <v>-231975.53030106833</v>
      </c>
      <c r="AR32" s="300">
        <f>[2]KMU569_VIAR!L13</f>
        <v>3307</v>
      </c>
      <c r="AS32" s="301">
        <f t="shared" si="9"/>
        <v>-70.146818960105335</v>
      </c>
      <c r="AT32" s="151" t="s">
        <v>247</v>
      </c>
      <c r="AU32" s="117">
        <f>KMU56_VIAR!D38</f>
        <v>135119.2008875256</v>
      </c>
      <c r="AV32" s="300">
        <f>KMU56_VIAR!L21</f>
        <v>7668</v>
      </c>
      <c r="AW32" s="301">
        <f t="shared" si="10"/>
        <v>17.621179041148356</v>
      </c>
    </row>
    <row r="33" spans="1:49" x14ac:dyDescent="0.25">
      <c r="A33" s="302" t="s">
        <v>1108</v>
      </c>
      <c r="B33" s="271" t="s">
        <v>1104</v>
      </c>
      <c r="C33" s="117">
        <f>'[3]UNIDADES SIN USO'!E25</f>
        <v>-19964.152331107398</v>
      </c>
      <c r="D33" s="300" t="s">
        <v>1105</v>
      </c>
      <c r="E33" s="301" t="s">
        <v>1105</v>
      </c>
      <c r="F33" s="151" t="s">
        <v>471</v>
      </c>
      <c r="G33" s="117">
        <f>[4]KOE278_VIAR!D31</f>
        <v>-17688.618361691944</v>
      </c>
      <c r="H33" s="300">
        <f>[4]KOE278_VIAR!L14</f>
        <v>6360</v>
      </c>
      <c r="I33" s="301">
        <f t="shared" si="11"/>
        <v>-2.7812293021528216</v>
      </c>
      <c r="J33" s="151" t="s">
        <v>247</v>
      </c>
      <c r="K33" s="117">
        <f>[5]KOE278_VIAR!D27</f>
        <v>24148.502005141723</v>
      </c>
      <c r="L33" s="300">
        <f>[5]KOE278_VIAR!L10</f>
        <v>1340</v>
      </c>
      <c r="M33" s="301">
        <f t="shared" si="12"/>
        <v>18.021270153090839</v>
      </c>
      <c r="N33" s="151" t="s">
        <v>289</v>
      </c>
      <c r="O33" s="117">
        <f>[6]KOE278_VIAR!D26</f>
        <v>-213754.95961570047</v>
      </c>
      <c r="P33" s="300">
        <f>[6]KOE278_VIAR!L9</f>
        <v>2244</v>
      </c>
      <c r="Q33" s="301">
        <f t="shared" si="13"/>
        <v>-95.256220862611613</v>
      </c>
      <c r="R33" s="151" t="s">
        <v>1105</v>
      </c>
      <c r="S33" s="117">
        <f>[7]KOE278_VIAR!D23</f>
        <v>-32621.797723440694</v>
      </c>
      <c r="T33" s="300">
        <f>[7]KOE278_VIAR!L6</f>
        <v>240</v>
      </c>
      <c r="U33" s="301">
        <f t="shared" si="4"/>
        <v>-135.9241571810029</v>
      </c>
      <c r="V33" s="151" t="s">
        <v>1105</v>
      </c>
      <c r="W33" s="117">
        <f>[8]KOE278_VIAR!D23</f>
        <v>-92577.300453051881</v>
      </c>
      <c r="X33" s="300">
        <f>[8]KOE278_VIAR!L6</f>
        <v>974</v>
      </c>
      <c r="Y33" s="301">
        <f t="shared" si="14"/>
        <v>-95.048563093482429</v>
      </c>
      <c r="Z33" s="151" t="s">
        <v>1105</v>
      </c>
      <c r="AA33" s="117">
        <f>[9]KOE278_VIAR!D27</f>
        <v>-22131.13423558278</v>
      </c>
      <c r="AB33" s="300">
        <f>[9]KOE278_VIAR!L10</f>
        <v>4020</v>
      </c>
      <c r="AC33" s="301">
        <f t="shared" si="15"/>
        <v>-5.5052572725330302</v>
      </c>
      <c r="AD33" s="151" t="s">
        <v>187</v>
      </c>
      <c r="AE33" s="117">
        <f>[10]KOE278_VIAR!D34</f>
        <v>140396.58211385115</v>
      </c>
      <c r="AF33" s="300">
        <f>[10]KOE278_VIAR!L17</f>
        <v>9828</v>
      </c>
      <c r="AG33" s="301">
        <f t="shared" si="16"/>
        <v>14.285366515450871</v>
      </c>
      <c r="AH33" s="151" t="s">
        <v>187</v>
      </c>
      <c r="AI33" s="117">
        <f>[11]KOE278_VIAR!D34</f>
        <v>239553.13561594489</v>
      </c>
      <c r="AJ33" s="300">
        <f>[11]KOE278_VIAR!L17</f>
        <v>8926</v>
      </c>
      <c r="AK33" s="301">
        <f t="shared" si="17"/>
        <v>26.837680440952823</v>
      </c>
      <c r="AL33" s="151" t="s">
        <v>187</v>
      </c>
      <c r="AM33" s="117">
        <f>[1]KOE278_VIAR!D28</f>
        <v>13671.239553670137</v>
      </c>
      <c r="AN33" s="300">
        <f>[1]KOE278_VIAR!L11</f>
        <v>4394</v>
      </c>
      <c r="AO33" s="301">
        <f t="shared" si="18"/>
        <v>3.1113426385230172</v>
      </c>
      <c r="AP33" s="151" t="s">
        <v>1107</v>
      </c>
      <c r="AQ33" s="117">
        <f>'[2]UNIDADES SIN USO'!B33</f>
        <v>-120789.20016204934</v>
      </c>
      <c r="AR33" s="300">
        <f>[2]KOE278_VIAR!L5</f>
        <v>450</v>
      </c>
      <c r="AS33" s="301" t="s">
        <v>1105</v>
      </c>
      <c r="AT33" s="151" t="s">
        <v>1107</v>
      </c>
      <c r="AU33" s="117">
        <f>'UNIDADES SIN USO'!E33</f>
        <v>-69236.313962049346</v>
      </c>
      <c r="AV33" s="300" t="s">
        <v>1105</v>
      </c>
      <c r="AW33" s="301" t="s">
        <v>1105</v>
      </c>
    </row>
    <row r="34" spans="1:49" x14ac:dyDescent="0.25">
      <c r="A34" s="302" t="s">
        <v>354</v>
      </c>
      <c r="B34" s="151" t="s">
        <v>247</v>
      </c>
      <c r="C34" s="117">
        <f>[3]KOL760_VIAR!D34</f>
        <v>83454.224870395614</v>
      </c>
      <c r="D34" s="300">
        <f>[3]KOL760_VIAR!L17</f>
        <v>6937</v>
      </c>
      <c r="E34" s="301">
        <f t="shared" si="0"/>
        <v>12.030304868155632</v>
      </c>
      <c r="F34" s="151" t="s">
        <v>317</v>
      </c>
      <c r="G34" s="117">
        <f>[4]KOL760_VIAR!D35</f>
        <v>75155.774377737223</v>
      </c>
      <c r="H34" s="300">
        <f>[4]KOL760_VIAR!L18</f>
        <v>6846</v>
      </c>
      <c r="I34" s="301">
        <f t="shared" si="11"/>
        <v>10.978056438465853</v>
      </c>
      <c r="J34" s="151" t="s">
        <v>317</v>
      </c>
      <c r="K34" s="117">
        <f>[5]KOL760_VIAR!D41</f>
        <v>91259.673932104226</v>
      </c>
      <c r="L34" s="300">
        <f>[5]KOL760_VIAR!L24</f>
        <v>10239</v>
      </c>
      <c r="M34" s="301">
        <f t="shared" si="12"/>
        <v>8.9129479375040752</v>
      </c>
      <c r="N34" s="151" t="s">
        <v>305</v>
      </c>
      <c r="O34" s="117">
        <f>[6]KOL760_VIAR!D31</f>
        <v>49871.055237965746</v>
      </c>
      <c r="P34" s="300">
        <f>[6]KOL760_VIAR!L14</f>
        <v>6104</v>
      </c>
      <c r="Q34" s="301">
        <f t="shared" si="13"/>
        <v>8.1702253011084114</v>
      </c>
      <c r="R34" s="151" t="s">
        <v>317</v>
      </c>
      <c r="S34" s="117">
        <f>[7]KOL760_VIAR!D44</f>
        <v>180111.63189638712</v>
      </c>
      <c r="T34" s="300">
        <f>[7]KOL760_VIAR!L27</f>
        <v>13098</v>
      </c>
      <c r="U34" s="301">
        <f t="shared" si="4"/>
        <v>13.751078935439542</v>
      </c>
      <c r="V34" s="151" t="s">
        <v>151</v>
      </c>
      <c r="W34" s="117">
        <f>[8]KOL760_VIAR!D41</f>
        <v>215784.36558831582</v>
      </c>
      <c r="X34" s="300">
        <f>[8]KOL760_VIAR!L24</f>
        <v>11889</v>
      </c>
      <c r="Y34" s="301">
        <f t="shared" si="14"/>
        <v>18.149917199791052</v>
      </c>
      <c r="Z34" s="151" t="s">
        <v>151</v>
      </c>
      <c r="AA34" s="117">
        <f>[9]KOL760_VIAR!D37</f>
        <v>-11411.353881738221</v>
      </c>
      <c r="AB34" s="300">
        <f>[9]KOL760_VIAR!L20</f>
        <v>7000</v>
      </c>
      <c r="AC34" s="301">
        <f t="shared" si="15"/>
        <v>-1.6301934116768888</v>
      </c>
      <c r="AD34" s="151" t="s">
        <v>151</v>
      </c>
      <c r="AE34" s="117">
        <f>[10]KOL760_VIAR!D38</f>
        <v>174682.0570686073</v>
      </c>
      <c r="AF34" s="300">
        <f>[10]KOL760_VIAR!L21</f>
        <v>8488</v>
      </c>
      <c r="AG34" s="301">
        <f t="shared" si="16"/>
        <v>20.579884197526781</v>
      </c>
      <c r="AH34" s="151" t="s">
        <v>286</v>
      </c>
      <c r="AI34" s="117">
        <f>[11]KOL760_VIAR!D43</f>
        <v>164497.45033093478</v>
      </c>
      <c r="AJ34" s="300">
        <f>[11]KOL760_VIAR!L26</f>
        <v>9114</v>
      </c>
      <c r="AK34" s="301">
        <f t="shared" si="17"/>
        <v>18.048875392904847</v>
      </c>
      <c r="AL34" s="151" t="s">
        <v>175</v>
      </c>
      <c r="AM34" s="117">
        <f>[1]KOL760_VIAR!D43</f>
        <v>134974.60332035372</v>
      </c>
      <c r="AN34" s="300">
        <f>[1]KOL760_VIAR!L26</f>
        <v>6190</v>
      </c>
      <c r="AO34" s="301">
        <f t="shared" si="18"/>
        <v>21.805267095372169</v>
      </c>
      <c r="AP34" s="151" t="s">
        <v>270</v>
      </c>
      <c r="AQ34" s="117">
        <f>[2]KOL760_VIAR!D41</f>
        <v>172255.40160564968</v>
      </c>
      <c r="AR34" s="300">
        <f>[2]KOL760_VIAR!L24</f>
        <v>7958</v>
      </c>
      <c r="AS34" s="301">
        <f t="shared" si="9"/>
        <v>21.645564413879075</v>
      </c>
      <c r="AT34" s="151" t="s">
        <v>270</v>
      </c>
      <c r="AU34" s="117">
        <f>KOL760_VIAR!D39</f>
        <v>139084.7766209718</v>
      </c>
      <c r="AV34" s="300">
        <f>KOL760_VIAR!L22</f>
        <v>9590</v>
      </c>
      <c r="AW34" s="301">
        <f t="shared" si="10"/>
        <v>14.50310496569049</v>
      </c>
    </row>
    <row r="35" spans="1:49" x14ac:dyDescent="0.25">
      <c r="A35" s="302" t="s">
        <v>355</v>
      </c>
      <c r="B35" s="151" t="s">
        <v>283</v>
      </c>
      <c r="C35" s="117">
        <f>[3]KWO766_VIAR!D31</f>
        <v>77811.748186650497</v>
      </c>
      <c r="D35" s="300">
        <f>[3]KWO766_VIAR!L14</f>
        <v>5992</v>
      </c>
      <c r="E35" s="301">
        <f t="shared" si="0"/>
        <v>12.985939283486397</v>
      </c>
      <c r="F35" s="151" t="s">
        <v>283</v>
      </c>
      <c r="G35" s="117">
        <f>[4]KWO766_VIAR!D34</f>
        <v>111860.48954304264</v>
      </c>
      <c r="H35" s="300">
        <f>[4]KWO766_VIAR!L17</f>
        <v>7876</v>
      </c>
      <c r="I35" s="301">
        <f t="shared" si="11"/>
        <v>14.202703090787537</v>
      </c>
      <c r="J35" s="151" t="s">
        <v>283</v>
      </c>
      <c r="K35" s="117">
        <f>[5]KWO766_VIAR!D38</f>
        <v>77140.432433111768</v>
      </c>
      <c r="L35" s="300">
        <f>[5]KWO766_VIAR!L21</f>
        <v>10040</v>
      </c>
      <c r="M35" s="301">
        <f t="shared" si="12"/>
        <v>7.6833100032979846</v>
      </c>
      <c r="N35" s="151" t="s">
        <v>283</v>
      </c>
      <c r="O35" s="117">
        <f>[6]KWO766_VIAR!D34</f>
        <v>224419.4305971844</v>
      </c>
      <c r="P35" s="300">
        <f>[6]KWO766_VIAR!L17</f>
        <v>9371</v>
      </c>
      <c r="Q35" s="301">
        <f t="shared" si="13"/>
        <v>23.948290534327651</v>
      </c>
      <c r="R35" s="151" t="s">
        <v>283</v>
      </c>
      <c r="S35" s="117">
        <f>[7]KWO766_VIAR!D35</f>
        <v>66878.638157828536</v>
      </c>
      <c r="T35" s="300">
        <f>[7]KWO766_VIAR!L18</f>
        <v>10767</v>
      </c>
      <c r="U35" s="301">
        <f t="shared" si="4"/>
        <v>6.2114459141662985</v>
      </c>
      <c r="V35" s="151" t="s">
        <v>283</v>
      </c>
      <c r="W35" s="117">
        <f>[8]KWO766_VIAR!D33</f>
        <v>125140.26205799625</v>
      </c>
      <c r="X35" s="300">
        <f>[8]KWO766_VIAR!L16</f>
        <v>7438</v>
      </c>
      <c r="Y35" s="301">
        <f t="shared" si="14"/>
        <v>16.824450397687048</v>
      </c>
      <c r="Z35" s="151" t="s">
        <v>283</v>
      </c>
      <c r="AA35" s="117">
        <f>[9]KWO766_VIAR!D30</f>
        <v>93788.919480337514</v>
      </c>
      <c r="AB35" s="300">
        <f>[9]KWO766_VIAR!L13</f>
        <v>5964</v>
      </c>
      <c r="AC35" s="301">
        <f t="shared" si="15"/>
        <v>15.725841629835264</v>
      </c>
      <c r="AD35" s="151" t="s">
        <v>283</v>
      </c>
      <c r="AE35" s="117">
        <f>[10]KWO766_VIAR!D33</f>
        <v>296522.64583775442</v>
      </c>
      <c r="AF35" s="300">
        <f>[10]KWO766_VIAR!L16</f>
        <v>10208</v>
      </c>
      <c r="AG35" s="301">
        <f t="shared" si="16"/>
        <v>29.048064835203213</v>
      </c>
      <c r="AH35" s="151" t="s">
        <v>283</v>
      </c>
      <c r="AI35" s="117">
        <f>[11]KWO766_VIAR!D31</f>
        <v>20494.54343975283</v>
      </c>
      <c r="AJ35" s="300">
        <f>[11]KWO766_VIAR!L14</f>
        <v>6834</v>
      </c>
      <c r="AK35" s="301">
        <f t="shared" si="17"/>
        <v>2.9989089025099251</v>
      </c>
      <c r="AL35" s="151" t="s">
        <v>1107</v>
      </c>
      <c r="AM35" s="117">
        <f>'[1]UNIDADES SIN USO'!B33</f>
        <v>-323070.06233110739</v>
      </c>
      <c r="AN35" s="300" t="s">
        <v>1105</v>
      </c>
      <c r="AO35" s="301" t="s">
        <v>1105</v>
      </c>
      <c r="AP35" s="151" t="s">
        <v>283</v>
      </c>
      <c r="AQ35" s="117">
        <f>[2]KWO766_VIAR!D30</f>
        <v>-139656.0116368075</v>
      </c>
      <c r="AR35" s="300">
        <f>[2]KWO766_VIAR!L13</f>
        <v>5730</v>
      </c>
      <c r="AS35" s="301">
        <f t="shared" si="9"/>
        <v>-24.372776899966404</v>
      </c>
      <c r="AT35" s="151" t="s">
        <v>283</v>
      </c>
      <c r="AU35" s="117">
        <f>KWO766_VIAR!D26</f>
        <v>-118119.57416124565</v>
      </c>
      <c r="AV35" s="300">
        <f>KWO766_VIAR!L9</f>
        <v>3700</v>
      </c>
      <c r="AW35" s="301">
        <f t="shared" si="10"/>
        <v>-31.924209232769094</v>
      </c>
    </row>
    <row r="36" spans="1:49" x14ac:dyDescent="0.25">
      <c r="A36" s="302" t="s">
        <v>356</v>
      </c>
      <c r="B36" s="151" t="s">
        <v>286</v>
      </c>
      <c r="C36" s="117">
        <f>[3]LUY734_VIAR!D41</f>
        <v>154132.40364793467</v>
      </c>
      <c r="D36" s="300">
        <f>[3]LUY734_VIAR!L24</f>
        <v>9554</v>
      </c>
      <c r="E36" s="301">
        <f t="shared" si="0"/>
        <v>16.132761528986254</v>
      </c>
      <c r="F36" s="151" t="s">
        <v>286</v>
      </c>
      <c r="G36" s="117">
        <f>[4]LUY734_VIAR!D41</f>
        <v>165840.31242620706</v>
      </c>
      <c r="H36" s="300">
        <f>[4]LUY734_VIAR!L24</f>
        <v>7379</v>
      </c>
      <c r="I36" s="301">
        <f t="shared" si="11"/>
        <v>22.474632392764203</v>
      </c>
      <c r="J36" s="151" t="s">
        <v>1105</v>
      </c>
      <c r="K36" s="117">
        <f>[5]LUY734_VIAR!D27</f>
        <v>-8316.7979459858616</v>
      </c>
      <c r="L36" s="300">
        <f>[5]LUY734_VIAR!L10</f>
        <v>2360</v>
      </c>
      <c r="M36" s="301">
        <f t="shared" si="12"/>
        <v>-3.5240669262651956</v>
      </c>
      <c r="N36" s="151" t="s">
        <v>247</v>
      </c>
      <c r="O36" s="117">
        <f>[6]LUY734_VIAR!D45</f>
        <v>152301.97155872767</v>
      </c>
      <c r="P36" s="300">
        <f>[6]LUY734_VIAR!L28</f>
        <v>8537</v>
      </c>
      <c r="Q36" s="301">
        <f t="shared" si="13"/>
        <v>17.840221571831751</v>
      </c>
      <c r="R36" s="151" t="s">
        <v>270</v>
      </c>
      <c r="S36" s="117">
        <f>[7]LUY734_VIAR!D43</f>
        <v>201011.26649363185</v>
      </c>
      <c r="T36" s="300">
        <f>[7]LUY734_VIAR!L26</f>
        <v>12551</v>
      </c>
      <c r="U36" s="301">
        <f t="shared" si="4"/>
        <v>16.015557843489113</v>
      </c>
      <c r="V36" s="151" t="s">
        <v>482</v>
      </c>
      <c r="W36" s="117">
        <f>[8]LUY734_VIAR!D43</f>
        <v>80542.515767194505</v>
      </c>
      <c r="X36" s="300">
        <f>[8]LUY734_VIAR!L26</f>
        <v>9601</v>
      </c>
      <c r="Y36" s="301">
        <f t="shared" si="14"/>
        <v>8.3889715412138841</v>
      </c>
      <c r="Z36" s="151" t="s">
        <v>286</v>
      </c>
      <c r="AA36" s="117">
        <f>[9]LUY734_VIAR!D41</f>
        <v>33328.674004156463</v>
      </c>
      <c r="AB36" s="300">
        <f>[9]LUY734_VIAR!L24</f>
        <v>8783</v>
      </c>
      <c r="AC36" s="301">
        <f t="shared" si="15"/>
        <v>3.7946799503764614</v>
      </c>
      <c r="AD36" s="151" t="s">
        <v>286</v>
      </c>
      <c r="AE36" s="117">
        <f>[10]LUY734_VIAR!D36</f>
        <v>182715.6017977068</v>
      </c>
      <c r="AF36" s="300">
        <f>[10]LUY734_VIAR!L19</f>
        <v>8145</v>
      </c>
      <c r="AG36" s="301">
        <f t="shared" si="16"/>
        <v>22.432854732683463</v>
      </c>
      <c r="AH36" s="151" t="s">
        <v>247</v>
      </c>
      <c r="AI36" s="117">
        <f>[11]LUY734_VIAR!D42</f>
        <v>-192976.05709200655</v>
      </c>
      <c r="AJ36" s="300">
        <f>[11]LUY734_VIAR!L25</f>
        <v>5050</v>
      </c>
      <c r="AK36" s="301">
        <f t="shared" si="17"/>
        <v>-38.213080612278524</v>
      </c>
      <c r="AL36" s="151" t="s">
        <v>286</v>
      </c>
      <c r="AM36" s="117">
        <f>[1]LUY734_VIAR!D48</f>
        <v>269117.1533778304</v>
      </c>
      <c r="AN36" s="300">
        <f>[1]LUY734_VIAR!L31</f>
        <v>12380</v>
      </c>
      <c r="AO36" s="301">
        <f t="shared" si="18"/>
        <v>21.73805762341118</v>
      </c>
      <c r="AP36" s="151" t="s">
        <v>286</v>
      </c>
      <c r="AQ36" s="117">
        <f>[2]LUY734_VIAR!D45</f>
        <v>297008.57821968227</v>
      </c>
      <c r="AR36" s="300">
        <f>[2]LUY734_VIAR!L28</f>
        <v>13324</v>
      </c>
      <c r="AS36" s="301">
        <f t="shared" si="9"/>
        <v>22.29124723954385</v>
      </c>
      <c r="AT36" s="151" t="s">
        <v>286</v>
      </c>
      <c r="AU36" s="117">
        <f>LUY734_VIAR!D46</f>
        <v>60333.806076252949</v>
      </c>
      <c r="AV36" s="300">
        <f>LUY734_VIAR!L29</f>
        <v>8932</v>
      </c>
      <c r="AW36" s="301">
        <f t="shared" si="10"/>
        <v>6.7547924402432766</v>
      </c>
    </row>
    <row r="37" spans="1:49" x14ac:dyDescent="0.25">
      <c r="A37" s="302" t="s">
        <v>357</v>
      </c>
      <c r="B37" s="151" t="s">
        <v>440</v>
      </c>
      <c r="C37" s="117">
        <f>[3]MAV483_VIAR!D39</f>
        <v>111218.91060217466</v>
      </c>
      <c r="D37" s="300">
        <f>[3]MAV483_VIAR!L22</f>
        <v>8799</v>
      </c>
      <c r="E37" s="301">
        <f t="shared" si="0"/>
        <v>12.639948926261468</v>
      </c>
      <c r="F37" s="151" t="s">
        <v>253</v>
      </c>
      <c r="G37" s="117">
        <f>[4]MAV483_VIAR!D38</f>
        <v>143012.69892034281</v>
      </c>
      <c r="H37" s="300">
        <f>[4]MAV483_VIAR!L21</f>
        <v>8645</v>
      </c>
      <c r="I37" s="301">
        <f t="shared" si="11"/>
        <v>16.542822315829127</v>
      </c>
      <c r="J37" s="151" t="s">
        <v>440</v>
      </c>
      <c r="K37" s="117">
        <f>[5]MAV483_VIAR!D36</f>
        <v>-110450.62565742865</v>
      </c>
      <c r="L37" s="300">
        <f>[5]MAV483_VIAR!L19</f>
        <v>6333</v>
      </c>
      <c r="M37" s="301">
        <f t="shared" si="12"/>
        <v>-17.440490392772563</v>
      </c>
      <c r="N37" s="151" t="s">
        <v>253</v>
      </c>
      <c r="O37" s="117">
        <f>[6]MAV483_VIAR!D39</f>
        <v>178528.81852792547</v>
      </c>
      <c r="P37" s="300">
        <f>[6]MAV483_VIAR!L22</f>
        <v>9813</v>
      </c>
      <c r="Q37" s="301">
        <f t="shared" si="13"/>
        <v>18.193092686021142</v>
      </c>
      <c r="R37" s="151" t="s">
        <v>253</v>
      </c>
      <c r="S37" s="117">
        <f>[7]MAV483_VIAR!D38</f>
        <v>-122742.38287571618</v>
      </c>
      <c r="T37" s="300">
        <f>[7]MAV483_VIAR!L21</f>
        <v>7819</v>
      </c>
      <c r="U37" s="301">
        <f t="shared" si="4"/>
        <v>-15.697964301792579</v>
      </c>
      <c r="V37" s="151" t="s">
        <v>289</v>
      </c>
      <c r="W37" s="117">
        <f>[8]MAV483_VIAR!D32</f>
        <v>-93517.984384034105</v>
      </c>
      <c r="X37" s="300">
        <f>[8]MAV483_VIAR!L15</f>
        <v>5644</v>
      </c>
      <c r="Y37" s="301">
        <f t="shared" si="14"/>
        <v>-16.569451520913201</v>
      </c>
      <c r="Z37" s="151" t="s">
        <v>179</v>
      </c>
      <c r="AA37" s="117">
        <f>[9]MAV483_VIAR!D36</f>
        <v>210186.04474454932</v>
      </c>
      <c r="AB37" s="300">
        <f>[9]MAV483_VIAR!L19</f>
        <v>9280</v>
      </c>
      <c r="AC37" s="301">
        <f t="shared" si="15"/>
        <v>22.649358269886779</v>
      </c>
      <c r="AD37" s="151" t="s">
        <v>440</v>
      </c>
      <c r="AE37" s="117">
        <f>[10]MAV483_VIAR!D38</f>
        <v>-10668.809967965703</v>
      </c>
      <c r="AF37" s="300">
        <f>[10]MAV483_VIAR!L21</f>
        <v>8819</v>
      </c>
      <c r="AG37" s="301">
        <f t="shared" si="16"/>
        <v>-1.2097528028082212</v>
      </c>
      <c r="AH37" s="151" t="s">
        <v>440</v>
      </c>
      <c r="AI37" s="117">
        <f>[11]MAV483_VIAR!D40</f>
        <v>170712.90102450905</v>
      </c>
      <c r="AJ37" s="300">
        <f>[11]MAV483_VIAR!L23</f>
        <v>9800</v>
      </c>
      <c r="AK37" s="301">
        <f t="shared" si="17"/>
        <v>17.419683778011127</v>
      </c>
      <c r="AL37" s="151" t="s">
        <v>292</v>
      </c>
      <c r="AM37" s="117">
        <f>[1]MAV483_VIAR!D41</f>
        <v>226998.82387570702</v>
      </c>
      <c r="AN37" s="300">
        <f>[1]MAV483_VIAR!L24</f>
        <v>13135</v>
      </c>
      <c r="AO37" s="301">
        <f t="shared" si="18"/>
        <v>17.281981261949525</v>
      </c>
      <c r="AP37" s="151" t="s">
        <v>289</v>
      </c>
      <c r="AQ37" s="117">
        <f>[2]MAV483_VIAR!D40</f>
        <v>166858.78850391967</v>
      </c>
      <c r="AR37" s="300">
        <f>[2]MAV483_VIAR!L23</f>
        <v>10662</v>
      </c>
      <c r="AS37" s="301">
        <f t="shared" si="9"/>
        <v>15.649858235220378</v>
      </c>
      <c r="AT37" s="151" t="s">
        <v>246</v>
      </c>
      <c r="AU37" s="117">
        <f>MAV483_VIAR!D43</f>
        <v>202454.75403095485</v>
      </c>
      <c r="AV37" s="300">
        <f>MAV483_VIAR!L26</f>
        <v>10892</v>
      </c>
      <c r="AW37" s="301">
        <f t="shared" si="10"/>
        <v>18.587472826933055</v>
      </c>
    </row>
    <row r="38" spans="1:49" x14ac:dyDescent="0.25">
      <c r="A38" s="302" t="s">
        <v>358</v>
      </c>
      <c r="B38" s="151" t="s">
        <v>179</v>
      </c>
      <c r="C38" s="117">
        <f>[3]MMN838_VIAR!D31</f>
        <v>60775.399549779031</v>
      </c>
      <c r="D38" s="300">
        <f>[3]MMN838_VIAR!L14</f>
        <v>5343</v>
      </c>
      <c r="E38" s="301">
        <f t="shared" si="0"/>
        <v>11.374770643791695</v>
      </c>
      <c r="F38" s="151" t="s">
        <v>1105</v>
      </c>
      <c r="G38" s="117">
        <f>[4]MMN838_VIAR!D32</f>
        <v>-270381.76956510055</v>
      </c>
      <c r="H38" s="300">
        <f>[4]MMN838_VIAR!L15</f>
        <v>5447</v>
      </c>
      <c r="I38" s="301">
        <f t="shared" si="11"/>
        <v>-49.638657897025986</v>
      </c>
      <c r="J38" s="151" t="s">
        <v>471</v>
      </c>
      <c r="K38" s="117">
        <f>[5]MMN838_VIAR!D40</f>
        <v>109026.91767902519</v>
      </c>
      <c r="L38" s="300">
        <f>[5]MMN838_VIAR!L23</f>
        <v>7248</v>
      </c>
      <c r="M38" s="301">
        <f t="shared" si="12"/>
        <v>15.042345154390894</v>
      </c>
      <c r="N38" s="151" t="s">
        <v>471</v>
      </c>
      <c r="O38" s="117">
        <f>[6]MMN838_VIAR!D31</f>
        <v>27695.564992630068</v>
      </c>
      <c r="P38" s="300">
        <f>[6]MMN838_VIAR!L14</f>
        <v>5434</v>
      </c>
      <c r="Q38" s="301">
        <f t="shared" si="13"/>
        <v>5.096717886019519</v>
      </c>
      <c r="R38" s="151" t="s">
        <v>471</v>
      </c>
      <c r="S38" s="117">
        <f>[7]MMN838_VIAR!D47</f>
        <v>246332.95180413342</v>
      </c>
      <c r="T38" s="300">
        <f>[7]MMN838_VIAR!L30</f>
        <v>13806</v>
      </c>
      <c r="U38" s="301">
        <f t="shared" si="4"/>
        <v>17.842456309150617</v>
      </c>
      <c r="V38" s="151" t="s">
        <v>471</v>
      </c>
      <c r="W38" s="117">
        <f>[8]MMN838_VIAR!D40</f>
        <v>46551.89621345693</v>
      </c>
      <c r="X38" s="300">
        <f>[8]MMN838_VIAR!L23</f>
        <v>9761</v>
      </c>
      <c r="Y38" s="301">
        <f t="shared" si="14"/>
        <v>4.7691728525209438</v>
      </c>
      <c r="Z38" s="151" t="s">
        <v>471</v>
      </c>
      <c r="AA38" s="117">
        <f>[9]MMN838_VIAR!D30</f>
        <v>125301.1884076689</v>
      </c>
      <c r="AB38" s="300">
        <f>[9]MMN838_VIAR!L13</f>
        <v>5747</v>
      </c>
      <c r="AC38" s="301">
        <f t="shared" si="15"/>
        <v>21.802886446436212</v>
      </c>
      <c r="AD38" s="151" t="s">
        <v>471</v>
      </c>
      <c r="AE38" s="117">
        <f>[10]MMN838_VIAR!D37</f>
        <v>15039.380237312813</v>
      </c>
      <c r="AF38" s="300">
        <f>[10]MMN838_VIAR!L20</f>
        <v>7239</v>
      </c>
      <c r="AG38" s="301">
        <f t="shared" si="16"/>
        <v>2.07754941805675</v>
      </c>
      <c r="AH38" s="151" t="s">
        <v>471</v>
      </c>
      <c r="AI38" s="117">
        <f>[11]MMN838_VIAR!D45</f>
        <v>204027.55972637484</v>
      </c>
      <c r="AJ38" s="300">
        <f>[11]MMN838_VIAR!L28</f>
        <v>11198</v>
      </c>
      <c r="AK38" s="301">
        <f t="shared" si="17"/>
        <v>18.219999975564818</v>
      </c>
      <c r="AL38" s="151" t="s">
        <v>247</v>
      </c>
      <c r="AM38" s="117">
        <f>[1]MMN838_VIAR!D47</f>
        <v>200628.91136283928</v>
      </c>
      <c r="AN38" s="300">
        <f>[1]MMN838_VIAR!L30</f>
        <v>7530</v>
      </c>
      <c r="AO38" s="301">
        <f t="shared" si="18"/>
        <v>26.643945732116769</v>
      </c>
      <c r="AP38" s="151" t="s">
        <v>247</v>
      </c>
      <c r="AQ38" s="117">
        <f>[2]MMN838_VIAR!D51</f>
        <v>240120.94486452383</v>
      </c>
      <c r="AR38" s="300">
        <f>[2]MMN838_VIAR!L34</f>
        <v>10970</v>
      </c>
      <c r="AS38" s="301">
        <f t="shared" si="9"/>
        <v>21.88887373423189</v>
      </c>
      <c r="AT38" s="151" t="s">
        <v>249</v>
      </c>
      <c r="AU38" s="117">
        <f>MMN838_VIAR!D43</f>
        <v>242303.5389953074</v>
      </c>
      <c r="AV38" s="300">
        <f>MMN838_VIAR!L26</f>
        <v>11750</v>
      </c>
      <c r="AW38" s="301">
        <f t="shared" si="10"/>
        <v>20.621577786834674</v>
      </c>
    </row>
    <row r="39" spans="1:49" x14ac:dyDescent="0.25">
      <c r="A39" s="302" t="s">
        <v>359</v>
      </c>
      <c r="B39" s="151" t="s">
        <v>253</v>
      </c>
      <c r="C39" s="117">
        <f>[3]ORO021_VIAR!D35</f>
        <v>3136.4631317102321</v>
      </c>
      <c r="D39" s="300">
        <f>[3]ORO021_VIAR!L18</f>
        <v>8711</v>
      </c>
      <c r="E39" s="301">
        <f t="shared" si="0"/>
        <v>0.3600577582034476</v>
      </c>
      <c r="F39" s="151" t="s">
        <v>246</v>
      </c>
      <c r="G39" s="117">
        <f>[4]ORO021_VIAR!D41</f>
        <v>122613.97708886705</v>
      </c>
      <c r="H39" s="300">
        <f>[4]ORO021_VIAR!L24</f>
        <v>10641</v>
      </c>
      <c r="I39" s="301">
        <f t="shared" si="11"/>
        <v>11.522787058440658</v>
      </c>
      <c r="J39" s="151" t="s">
        <v>246</v>
      </c>
      <c r="K39" s="117">
        <f>[5]ORO021_VIAR!D38</f>
        <v>123911.61329599522</v>
      </c>
      <c r="L39" s="300">
        <f>[5]ORO021_VIAR!L21</f>
        <v>9905</v>
      </c>
      <c r="M39" s="301">
        <f t="shared" si="12"/>
        <v>12.510006390307444</v>
      </c>
      <c r="N39" s="151" t="s">
        <v>246</v>
      </c>
      <c r="O39" s="117">
        <f>[6]ORO021_VIAR!D42</f>
        <v>241950.37058676712</v>
      </c>
      <c r="P39" s="300">
        <f>[6]ORO021_VIAR!L25</f>
        <v>11564</v>
      </c>
      <c r="Q39" s="301">
        <f t="shared" si="13"/>
        <v>20.922723156932474</v>
      </c>
      <c r="R39" s="151" t="s">
        <v>246</v>
      </c>
      <c r="S39" s="117">
        <f>[7]ORO021_VIAR!D42</f>
        <v>200452.50658204002</v>
      </c>
      <c r="T39" s="300">
        <f>[7]ORO021_VIAR!L25</f>
        <v>11524</v>
      </c>
      <c r="U39" s="301">
        <f t="shared" si="4"/>
        <v>17.394351490978828</v>
      </c>
      <c r="V39" s="151" t="s">
        <v>440</v>
      </c>
      <c r="W39" s="117">
        <f>[8]ORO021_VIAR!D39</f>
        <v>-22261.345576690277</v>
      </c>
      <c r="X39" s="300">
        <f>[8]ORO021_VIAR!L22</f>
        <v>8727</v>
      </c>
      <c r="Y39" s="301">
        <f t="shared" si="14"/>
        <v>-2.5508588950028965</v>
      </c>
      <c r="Z39" s="151" t="s">
        <v>289</v>
      </c>
      <c r="AA39" s="117">
        <f>[9]ORO021_VIAR!D31</f>
        <v>67654.267754564324</v>
      </c>
      <c r="AB39" s="300">
        <f>[9]ORO021_VIAR!L14</f>
        <v>6710</v>
      </c>
      <c r="AC39" s="301">
        <f t="shared" si="15"/>
        <v>10.082603242110928</v>
      </c>
      <c r="AD39" s="151" t="s">
        <v>499</v>
      </c>
      <c r="AE39" s="117">
        <f>[10]ORO021_VIAR!D36</f>
        <v>-177858.26793516148</v>
      </c>
      <c r="AF39" s="300">
        <f>[10]ORO021_VIAR!L19</f>
        <v>5586</v>
      </c>
      <c r="AG39" s="301">
        <f t="shared" si="16"/>
        <v>-31.840005000924002</v>
      </c>
      <c r="AH39" s="151" t="s">
        <v>246</v>
      </c>
      <c r="AI39" s="117">
        <f>[11]ORO021_VIAR!D39</f>
        <v>249889.07688999851</v>
      </c>
      <c r="AJ39" s="300">
        <f>[11]ORO021_VIAR!L22</f>
        <v>9541</v>
      </c>
      <c r="AK39" s="301">
        <f t="shared" si="17"/>
        <v>26.191078177339744</v>
      </c>
      <c r="AL39" s="151" t="s">
        <v>317</v>
      </c>
      <c r="AM39" s="117">
        <f>[1]ORO021_VIAR!D42</f>
        <v>194877.24756908667</v>
      </c>
      <c r="AN39" s="300">
        <f>[1]ORO021_VIAR!L25</f>
        <v>11028</v>
      </c>
      <c r="AO39" s="301">
        <f t="shared" si="18"/>
        <v>17.671132351204811</v>
      </c>
      <c r="AP39" s="151" t="s">
        <v>317</v>
      </c>
      <c r="AQ39" s="117">
        <f>[2]ORO021_VIAR!D40</f>
        <v>291131.27166325122</v>
      </c>
      <c r="AR39" s="300">
        <f>[2]ORO021_VIAR!L23</f>
        <v>11982</v>
      </c>
      <c r="AS39" s="301">
        <f t="shared" si="9"/>
        <v>24.297385383345954</v>
      </c>
      <c r="AT39" s="151" t="s">
        <v>317</v>
      </c>
      <c r="AU39" s="117">
        <f>ORO021_VIAR!D38</f>
        <v>308196.29582713562</v>
      </c>
      <c r="AV39" s="300">
        <f>ORO021_VIAR!L21</f>
        <v>10245</v>
      </c>
      <c r="AW39" s="301">
        <f t="shared" si="10"/>
        <v>30.082605742033735</v>
      </c>
    </row>
    <row r="40" spans="1:49" ht="15.75" thickBot="1" x14ac:dyDescent="0.3">
      <c r="A40" s="303" t="s">
        <v>360</v>
      </c>
      <c r="B40" s="151" t="s">
        <v>499</v>
      </c>
      <c r="C40" s="117">
        <f>[3]OXJ862_VIAR!D32</f>
        <v>-51712.417169934561</v>
      </c>
      <c r="D40" s="300">
        <f>[3]OXJ862_VIAR!L15</f>
        <v>5654</v>
      </c>
      <c r="E40" s="301">
        <f t="shared" si="0"/>
        <v>-9.1461650459735697</v>
      </c>
      <c r="F40" s="151" t="s">
        <v>183</v>
      </c>
      <c r="G40" s="117">
        <f>[4]OXJ862_VIAR!D36</f>
        <v>58037.049576655554</v>
      </c>
      <c r="H40" s="300">
        <f>[4]OXJ862_VIAR!L19</f>
        <v>6949</v>
      </c>
      <c r="I40" s="301">
        <f t="shared" si="11"/>
        <v>8.351856321291633</v>
      </c>
      <c r="J40" s="151" t="s">
        <v>183</v>
      </c>
      <c r="K40" s="117">
        <f>[5]OXJ862_VIAR!D36</f>
        <v>72392.055152707006</v>
      </c>
      <c r="L40" s="300">
        <f>[5]OXJ862_VIAR!L19</f>
        <v>8081</v>
      </c>
      <c r="M40" s="301">
        <f t="shared" si="12"/>
        <v>8.9583040654259385</v>
      </c>
      <c r="N40" s="151" t="s">
        <v>440</v>
      </c>
      <c r="O40" s="117">
        <f>[6]OXJ862_VIAR!D25</f>
        <v>-60787.487146179119</v>
      </c>
      <c r="P40" s="300">
        <f>[6]OXJ862_VIAR!L8</f>
        <v>2672</v>
      </c>
      <c r="Q40" s="301">
        <f t="shared" si="13"/>
        <v>-22.749808063689791</v>
      </c>
      <c r="R40" s="151" t="s">
        <v>1105</v>
      </c>
      <c r="S40" s="117">
        <f>[7]OXJ862_VIAR!D30</f>
        <v>45467.221676345347</v>
      </c>
      <c r="T40" s="300">
        <f>[7]OXJ862_VIAR!L13</f>
        <v>3993</v>
      </c>
      <c r="U40" s="301">
        <f t="shared" si="4"/>
        <v>11.386732200437102</v>
      </c>
      <c r="V40" s="151" t="s">
        <v>246</v>
      </c>
      <c r="W40" s="117">
        <f>[8]OXJ862_VIAR!D40</f>
        <v>131824.79883819292</v>
      </c>
      <c r="X40" s="300">
        <f>[8]OXJ862_VIAR!L23</f>
        <v>11118</v>
      </c>
      <c r="Y40" s="301">
        <f t="shared" si="14"/>
        <v>11.856880629447105</v>
      </c>
      <c r="Z40" s="151" t="s">
        <v>440</v>
      </c>
      <c r="AA40" s="117">
        <f>[9]OXJ862_VIAR!D35</f>
        <v>10912.26633834299</v>
      </c>
      <c r="AB40" s="300">
        <f>[9]OXJ862_VIAR!L18</f>
        <v>6741</v>
      </c>
      <c r="AC40" s="301">
        <f t="shared" si="15"/>
        <v>1.6187904373747204</v>
      </c>
      <c r="AD40" s="151" t="s">
        <v>438</v>
      </c>
      <c r="AE40" s="117">
        <f>[10]OXJ862_VIAR!D40</f>
        <v>19936.258557952533</v>
      </c>
      <c r="AF40" s="300">
        <f>[10]OXJ862_VIAR!L23</f>
        <v>8821</v>
      </c>
      <c r="AG40" s="301">
        <f t="shared" si="16"/>
        <v>2.2600905291863205</v>
      </c>
      <c r="AH40" s="151" t="s">
        <v>438</v>
      </c>
      <c r="AI40" s="117">
        <f>[11]OXJ862_VIAR!D33</f>
        <v>-169986.41365171943</v>
      </c>
      <c r="AJ40" s="300">
        <f>[11]OXJ862_VIAR!L16</f>
        <v>7185</v>
      </c>
      <c r="AK40" s="301">
        <f t="shared" si="17"/>
        <v>-23.658512686391013</v>
      </c>
      <c r="AL40" s="151" t="s">
        <v>440</v>
      </c>
      <c r="AM40" s="117">
        <f>[1]OXJ862_VIAR!D36</f>
        <v>162255.64846949046</v>
      </c>
      <c r="AN40" s="300">
        <f>[1]OXJ862_VIAR!L19</f>
        <v>10579</v>
      </c>
      <c r="AO40" s="301">
        <f t="shared" si="18"/>
        <v>15.337522305462754</v>
      </c>
      <c r="AP40" s="151" t="s">
        <v>246</v>
      </c>
      <c r="AQ40" s="117">
        <f>[2]OXJ862_VIAR!D41</f>
        <v>253859.40164750098</v>
      </c>
      <c r="AR40" s="300">
        <f>[2]OXJ862_VIAR!L24</f>
        <v>10167</v>
      </c>
      <c r="AS40" s="301">
        <f t="shared" si="9"/>
        <v>24.968958556850691</v>
      </c>
      <c r="AT40" s="151" t="s">
        <v>289</v>
      </c>
      <c r="AU40" s="117">
        <f>OXJ862_VIAR!D40</f>
        <v>287005.49411177338</v>
      </c>
      <c r="AV40" s="300">
        <f>OXJ862_VIAR!L23</f>
        <v>9541</v>
      </c>
      <c r="AW40" s="301">
        <f t="shared" si="10"/>
        <v>30.081280171027501</v>
      </c>
    </row>
    <row r="41" spans="1:49" ht="15.75" thickBot="1" x14ac:dyDescent="0.3">
      <c r="A41" s="296" t="s">
        <v>1090</v>
      </c>
      <c r="B41" s="304"/>
      <c r="C41" s="305">
        <f>SUM(C19:C40)</f>
        <v>1904274.5835983509</v>
      </c>
      <c r="D41" s="556">
        <f>SUM(D19:D40)</f>
        <v>163875</v>
      </c>
      <c r="E41" s="550">
        <f t="shared" si="0"/>
        <v>11.620287314101303</v>
      </c>
      <c r="F41" s="304"/>
      <c r="G41" s="305">
        <f>SUM(G19:G40)</f>
        <v>1891390.3982653867</v>
      </c>
      <c r="H41" s="556">
        <f>SUM(H19:H40)</f>
        <v>175820</v>
      </c>
      <c r="I41" s="550">
        <f t="shared" si="11"/>
        <v>10.757538381670951</v>
      </c>
      <c r="J41" s="304"/>
      <c r="K41" s="305">
        <f>SUM(K19:K40)</f>
        <v>2432170.0528148436</v>
      </c>
      <c r="L41" s="556">
        <f>SUM(L19:L40)</f>
        <v>184342.30800000002</v>
      </c>
      <c r="M41" s="550">
        <f t="shared" si="12"/>
        <v>13.193770215868422</v>
      </c>
      <c r="N41" s="304"/>
      <c r="O41" s="305">
        <f>SUM(O19:O40)</f>
        <v>2259318.7874708902</v>
      </c>
      <c r="P41" s="556">
        <f>SUM(P19:P40)</f>
        <v>174990</v>
      </c>
      <c r="Q41" s="550">
        <f t="shared" si="13"/>
        <v>12.911130850167954</v>
      </c>
      <c r="R41" s="304"/>
      <c r="S41" s="305">
        <f>SUM(S19:S40)</f>
        <v>3404638.8287905445</v>
      </c>
      <c r="T41" s="556">
        <f>SUM(T19:T40)</f>
        <v>217179</v>
      </c>
      <c r="U41" s="550">
        <f t="shared" si="4"/>
        <v>15.676648427290598</v>
      </c>
      <c r="V41" s="304"/>
      <c r="W41" s="305">
        <f>SUM(W19:W40)</f>
        <v>2541869.3968046275</v>
      </c>
      <c r="X41" s="556">
        <f>SUM(X19:X40)</f>
        <v>184371</v>
      </c>
      <c r="Y41" s="550">
        <f t="shared" si="14"/>
        <v>13.786709389245747</v>
      </c>
      <c r="Z41" s="304"/>
      <c r="AA41" s="305">
        <f>SUM(AA19:AA40)</f>
        <v>2360452.1082434068</v>
      </c>
      <c r="AB41" s="556">
        <f>SUM(AB19:AB40)</f>
        <v>156742</v>
      </c>
      <c r="AC41" s="550">
        <f t="shared" si="15"/>
        <v>15.059474220332818</v>
      </c>
      <c r="AD41" s="304"/>
      <c r="AE41" s="305">
        <f>SUM(AE19:AE40)</f>
        <v>2477783.7993695159</v>
      </c>
      <c r="AF41" s="556">
        <f>SUM(AF19:AF40)</f>
        <v>180490</v>
      </c>
      <c r="AG41" s="550">
        <f t="shared" si="16"/>
        <v>13.72809462778833</v>
      </c>
      <c r="AH41" s="304"/>
      <c r="AI41" s="305">
        <f>SUM(AI19:AI40)</f>
        <v>2933289.3210517806</v>
      </c>
      <c r="AJ41" s="556">
        <f>SUM(AJ19:AJ40)</f>
        <v>182650</v>
      </c>
      <c r="AK41" s="550">
        <f t="shared" si="17"/>
        <v>16.059618511096527</v>
      </c>
      <c r="AL41" s="304"/>
      <c r="AM41" s="305">
        <f>SUM(AM19:AM40)</f>
        <v>4738740.6934102476</v>
      </c>
      <c r="AN41" s="556">
        <f>SUM(AN19:AN40)</f>
        <v>195820</v>
      </c>
      <c r="AO41" s="550">
        <f t="shared" si="18"/>
        <v>24.199472441069592</v>
      </c>
      <c r="AP41" s="304"/>
      <c r="AQ41" s="305">
        <f>SUM(AQ19:AQ40)</f>
        <v>4698071.8006983809</v>
      </c>
      <c r="AR41" s="556">
        <f>SUM(AR19:AR40)</f>
        <v>202753</v>
      </c>
      <c r="AS41" s="550">
        <f t="shared" si="9"/>
        <v>23.171404618912572</v>
      </c>
      <c r="AT41" s="304"/>
      <c r="AU41" s="305">
        <f>SUM(AU19:AU40)</f>
        <v>6308998.0710522002</v>
      </c>
      <c r="AV41" s="556">
        <f>SUM(AV19:AV40)</f>
        <v>207749</v>
      </c>
      <c r="AW41" s="550">
        <f>AU41/AV41</f>
        <v>30.368367939447122</v>
      </c>
    </row>
    <row r="42" spans="1:49" ht="15.75" thickBot="1" x14ac:dyDescent="0.3">
      <c r="A42" s="294" t="s">
        <v>1096</v>
      </c>
      <c r="B42" s="306"/>
      <c r="C42" s="307">
        <v>290912.24</v>
      </c>
      <c r="D42" s="557"/>
      <c r="E42" s="551"/>
      <c r="F42" s="306"/>
      <c r="G42" s="307">
        <f>G41-C41</f>
        <v>-12884.185332964174</v>
      </c>
      <c r="H42" s="557"/>
      <c r="I42" s="551"/>
      <c r="J42" s="306"/>
      <c r="K42" s="307">
        <f>K41-G41</f>
        <v>540779.6545494569</v>
      </c>
      <c r="L42" s="557"/>
      <c r="M42" s="551"/>
      <c r="N42" s="306"/>
      <c r="O42" s="307">
        <f>O41-K41</f>
        <v>-172851.26534395339</v>
      </c>
      <c r="P42" s="557"/>
      <c r="Q42" s="551"/>
      <c r="R42" s="306"/>
      <c r="S42" s="307">
        <f>S41-O41</f>
        <v>1145320.0413196543</v>
      </c>
      <c r="T42" s="557"/>
      <c r="U42" s="551"/>
      <c r="V42" s="306"/>
      <c r="W42" s="307">
        <f>W41-S41</f>
        <v>-862769.43198591704</v>
      </c>
      <c r="X42" s="557"/>
      <c r="Y42" s="551"/>
      <c r="Z42" s="306"/>
      <c r="AA42" s="307">
        <f>AA41-W41</f>
        <v>-181417.28856122075</v>
      </c>
      <c r="AB42" s="557"/>
      <c r="AC42" s="551"/>
      <c r="AD42" s="306"/>
      <c r="AE42" s="307">
        <f>AE41-AA41</f>
        <v>117331.6911261091</v>
      </c>
      <c r="AF42" s="557"/>
      <c r="AG42" s="551"/>
      <c r="AH42" s="306"/>
      <c r="AI42" s="307">
        <f>AI41-AE41</f>
        <v>455505.52168226475</v>
      </c>
      <c r="AJ42" s="557"/>
      <c r="AK42" s="551"/>
      <c r="AL42" s="306"/>
      <c r="AM42" s="307">
        <f>AM41-AI41</f>
        <v>1805451.372358467</v>
      </c>
      <c r="AN42" s="557"/>
      <c r="AO42" s="551"/>
      <c r="AP42" s="306"/>
      <c r="AQ42" s="307">
        <f>AQ41-AM41</f>
        <v>-40668.892711866647</v>
      </c>
      <c r="AR42" s="557"/>
      <c r="AS42" s="551"/>
      <c r="AT42" s="306"/>
      <c r="AU42" s="307">
        <f>AU41-AQ41</f>
        <v>1610926.2703538192</v>
      </c>
      <c r="AV42" s="557"/>
      <c r="AW42" s="551"/>
    </row>
    <row r="43" spans="1:49" ht="15.75" thickBot="1" x14ac:dyDescent="0.3">
      <c r="A43" s="258"/>
    </row>
    <row r="44" spans="1:49" ht="15.75" thickBot="1" x14ac:dyDescent="0.3">
      <c r="A44" s="494" t="s">
        <v>1109</v>
      </c>
      <c r="B44" s="496">
        <v>44136</v>
      </c>
      <c r="C44" s="497"/>
      <c r="D44" s="497"/>
      <c r="E44" s="498"/>
      <c r="F44" s="496">
        <v>44166</v>
      </c>
      <c r="G44" s="497"/>
      <c r="H44" s="497"/>
      <c r="I44" s="498"/>
      <c r="J44" s="496">
        <v>44197</v>
      </c>
      <c r="K44" s="497"/>
      <c r="L44" s="497"/>
      <c r="M44" s="498"/>
      <c r="N44" s="496">
        <v>44228</v>
      </c>
      <c r="O44" s="497"/>
      <c r="P44" s="497"/>
      <c r="Q44" s="498"/>
      <c r="R44" s="496">
        <v>44256</v>
      </c>
      <c r="S44" s="497"/>
      <c r="T44" s="497"/>
      <c r="U44" s="498"/>
      <c r="V44" s="496">
        <v>44287</v>
      </c>
      <c r="W44" s="497"/>
      <c r="X44" s="497"/>
      <c r="Y44" s="498"/>
      <c r="Z44" s="496">
        <v>44317</v>
      </c>
      <c r="AA44" s="497"/>
      <c r="AB44" s="497"/>
      <c r="AC44" s="498"/>
      <c r="AD44" s="496">
        <v>44348</v>
      </c>
      <c r="AE44" s="497"/>
      <c r="AF44" s="497"/>
      <c r="AG44" s="498"/>
      <c r="AH44" s="496">
        <v>44378</v>
      </c>
      <c r="AI44" s="497"/>
      <c r="AJ44" s="497"/>
      <c r="AK44" s="498"/>
      <c r="AL44" s="496">
        <v>44409</v>
      </c>
      <c r="AM44" s="497"/>
      <c r="AN44" s="497"/>
      <c r="AO44" s="498"/>
      <c r="AP44" s="496">
        <v>44440</v>
      </c>
      <c r="AQ44" s="497"/>
      <c r="AR44" s="497"/>
      <c r="AS44" s="498"/>
      <c r="AT44" s="496">
        <v>44470</v>
      </c>
      <c r="AU44" s="497"/>
      <c r="AV44" s="497"/>
      <c r="AW44" s="498"/>
    </row>
    <row r="45" spans="1:49" ht="15.75" thickBot="1" x14ac:dyDescent="0.3">
      <c r="A45" s="495"/>
      <c r="B45" s="298" t="s">
        <v>1101</v>
      </c>
      <c r="C45" s="298" t="s">
        <v>1102</v>
      </c>
      <c r="D45" s="298" t="s">
        <v>706</v>
      </c>
      <c r="E45" s="298" t="s">
        <v>1103</v>
      </c>
      <c r="F45" s="298" t="s">
        <v>1101</v>
      </c>
      <c r="G45" s="298" t="s">
        <v>1102</v>
      </c>
      <c r="H45" s="298" t="s">
        <v>706</v>
      </c>
      <c r="I45" s="298" t="s">
        <v>1103</v>
      </c>
      <c r="J45" s="298" t="s">
        <v>1101</v>
      </c>
      <c r="K45" s="298" t="s">
        <v>1102</v>
      </c>
      <c r="L45" s="298" t="s">
        <v>706</v>
      </c>
      <c r="M45" s="298" t="s">
        <v>1103</v>
      </c>
      <c r="N45" s="298" t="s">
        <v>1101</v>
      </c>
      <c r="O45" s="298" t="s">
        <v>1102</v>
      </c>
      <c r="P45" s="298" t="s">
        <v>706</v>
      </c>
      <c r="Q45" s="298" t="s">
        <v>1103</v>
      </c>
      <c r="R45" s="298" t="s">
        <v>1101</v>
      </c>
      <c r="S45" s="298" t="s">
        <v>1102</v>
      </c>
      <c r="T45" s="298" t="s">
        <v>706</v>
      </c>
      <c r="U45" s="298" t="s">
        <v>1103</v>
      </c>
      <c r="V45" s="298" t="s">
        <v>1101</v>
      </c>
      <c r="W45" s="298" t="s">
        <v>1102</v>
      </c>
      <c r="X45" s="298" t="s">
        <v>706</v>
      </c>
      <c r="Y45" s="298" t="s">
        <v>1103</v>
      </c>
      <c r="Z45" s="298" t="s">
        <v>1101</v>
      </c>
      <c r="AA45" s="298" t="s">
        <v>1102</v>
      </c>
      <c r="AB45" s="298" t="s">
        <v>706</v>
      </c>
      <c r="AC45" s="298" t="s">
        <v>1103</v>
      </c>
      <c r="AD45" s="298" t="s">
        <v>1101</v>
      </c>
      <c r="AE45" s="298" t="s">
        <v>1102</v>
      </c>
      <c r="AF45" s="298" t="s">
        <v>706</v>
      </c>
      <c r="AG45" s="298" t="s">
        <v>1103</v>
      </c>
      <c r="AH45" s="298" t="s">
        <v>1101</v>
      </c>
      <c r="AI45" s="298" t="s">
        <v>1102</v>
      </c>
      <c r="AJ45" s="298" t="s">
        <v>706</v>
      </c>
      <c r="AK45" s="298" t="s">
        <v>1103</v>
      </c>
      <c r="AL45" s="298" t="s">
        <v>1101</v>
      </c>
      <c r="AM45" s="298" t="s">
        <v>1102</v>
      </c>
      <c r="AN45" s="298" t="s">
        <v>706</v>
      </c>
      <c r="AO45" s="298" t="s">
        <v>1103</v>
      </c>
      <c r="AP45" s="298" t="s">
        <v>1101</v>
      </c>
      <c r="AQ45" s="298" t="s">
        <v>1102</v>
      </c>
      <c r="AR45" s="298" t="s">
        <v>706</v>
      </c>
      <c r="AS45" s="298" t="s">
        <v>1103</v>
      </c>
      <c r="AT45" s="298" t="s">
        <v>1101</v>
      </c>
      <c r="AU45" s="298" t="s">
        <v>1102</v>
      </c>
      <c r="AV45" s="298" t="s">
        <v>706</v>
      </c>
      <c r="AW45" s="298" t="s">
        <v>1103</v>
      </c>
    </row>
    <row r="46" spans="1:49" x14ac:dyDescent="0.25">
      <c r="A46" s="308" t="s">
        <v>361</v>
      </c>
      <c r="B46" s="309" t="s">
        <v>243</v>
      </c>
      <c r="C46" s="310">
        <f>[3]KHL103_ARDILES!D35</f>
        <v>105838.39278886263</v>
      </c>
      <c r="D46" s="300">
        <f>[3]KHL103_ARDILES!L21</f>
        <v>9746</v>
      </c>
      <c r="E46" s="301">
        <f t="shared" ref="E46:E61" si="19">C46/D46</f>
        <v>10.859675024508787</v>
      </c>
      <c r="F46" s="309" t="s">
        <v>243</v>
      </c>
      <c r="G46" s="310">
        <f>[4]KHL103_ARDILES!D27</f>
        <v>112806.65636736697</v>
      </c>
      <c r="H46" s="300">
        <f>[4]KHL103_ARDILES!L13</f>
        <v>6461</v>
      </c>
      <c r="I46" s="301">
        <f>G46/H46</f>
        <v>17.459627978233552</v>
      </c>
      <c r="J46" s="309" t="s">
        <v>243</v>
      </c>
      <c r="K46" s="310">
        <f>[5]KHL103_ARDILES!D37</f>
        <v>172311.02682390608</v>
      </c>
      <c r="L46" s="300">
        <f>[5]KHL103_ARDILES!L23</f>
        <v>11582</v>
      </c>
      <c r="M46" s="301">
        <f>K46/L46</f>
        <v>14.877484616120366</v>
      </c>
      <c r="N46" s="309" t="s">
        <v>243</v>
      </c>
      <c r="O46" s="310">
        <f>[6]KHL103_ARDILES!D39</f>
        <v>202337.36082329741</v>
      </c>
      <c r="P46" s="300">
        <f>[6]KHL103_ARDILES!L25</f>
        <v>11759</v>
      </c>
      <c r="Q46" s="301">
        <f>O46/P46</f>
        <v>17.207021075201752</v>
      </c>
      <c r="R46" s="309" t="s">
        <v>243</v>
      </c>
      <c r="S46" s="310">
        <f>[7]KHL103_ARDILES!D37</f>
        <v>195806.73093933222</v>
      </c>
      <c r="T46" s="300">
        <f>[7]KHL103_ARDILES!L23</f>
        <v>11658</v>
      </c>
      <c r="U46" s="301">
        <f t="shared" ref="U46:U57" si="20">S46/T46</f>
        <v>16.795911043003279</v>
      </c>
      <c r="V46" s="309" t="s">
        <v>243</v>
      </c>
      <c r="W46" s="310">
        <f>[8]KHL103_ARDILES!D36</f>
        <v>196502.68963390612</v>
      </c>
      <c r="X46" s="300">
        <f>[8]KHL103_ARDILES!L22</f>
        <v>11730</v>
      </c>
      <c r="Y46" s="301">
        <f t="shared" ref="Y46:Y57" si="21">W46/X46</f>
        <v>16.75214745387094</v>
      </c>
      <c r="Z46" s="309" t="s">
        <v>243</v>
      </c>
      <c r="AA46" s="310">
        <f>[9]KHL103_ARDILES!D34</f>
        <v>175578.82880133222</v>
      </c>
      <c r="AB46" s="300">
        <f>[9]KHL103_ARDILES!L20</f>
        <v>9193</v>
      </c>
      <c r="AC46" s="301">
        <f t="shared" ref="AC46:AC57" si="22">AA46/AB46</f>
        <v>19.099187294825651</v>
      </c>
      <c r="AD46" s="309" t="s">
        <v>243</v>
      </c>
      <c r="AE46" s="310">
        <f>[10]KHL103_ARDILES!D36</f>
        <v>107467.10988381911</v>
      </c>
      <c r="AF46" s="300">
        <f>[10]KHL103_ARDILES!L22</f>
        <v>10344</v>
      </c>
      <c r="AG46" s="301">
        <f t="shared" ref="AG46:AG57" si="23">AE46/AF46</f>
        <v>10.38931843424392</v>
      </c>
      <c r="AH46" s="309" t="s">
        <v>243</v>
      </c>
      <c r="AI46" s="310">
        <f>[11]KHL103_ARDILES!D32</f>
        <v>194777.96443355831</v>
      </c>
      <c r="AJ46" s="300">
        <f>[11]KHL103_ARDILES!L18</f>
        <v>8684</v>
      </c>
      <c r="AK46" s="301">
        <f t="shared" ref="AK46:AK54" si="24">AI46/AJ46</f>
        <v>22.429521468627165</v>
      </c>
      <c r="AL46" s="309" t="s">
        <v>243</v>
      </c>
      <c r="AM46" s="310">
        <f>[1]KHL103_ARDILES!D31</f>
        <v>102187.3180777322</v>
      </c>
      <c r="AN46" s="300">
        <f>[1]KHL103_ARDILES!L17</f>
        <v>5036</v>
      </c>
      <c r="AO46" s="301">
        <f t="shared" ref="AO46:AO54" si="25">AM46/AN46</f>
        <v>20.291365781916639</v>
      </c>
      <c r="AP46" s="309" t="s">
        <v>243</v>
      </c>
      <c r="AQ46" s="310">
        <f>[2]KHL103_ARDILES!D40</f>
        <v>283932.45266377862</v>
      </c>
      <c r="AR46" s="300">
        <f>[2]KHL103_ARDILES!L26</f>
        <v>13202</v>
      </c>
      <c r="AS46" s="301">
        <f t="shared" ref="AS46:AS57" si="26">AQ46/AR46</f>
        <v>21.506775690333178</v>
      </c>
      <c r="AT46" s="309" t="s">
        <v>80</v>
      </c>
      <c r="AU46" s="310">
        <f>KHL103_ARDILES!D32</f>
        <v>207867.95178471776</v>
      </c>
      <c r="AV46" s="300">
        <f>KHL103_ARDILES!L18</f>
        <v>7394</v>
      </c>
      <c r="AW46" s="301">
        <f t="shared" ref="AW46:AW54" si="27">AU46/AV46</f>
        <v>28.113058126145219</v>
      </c>
    </row>
    <row r="47" spans="1:49" x14ac:dyDescent="0.25">
      <c r="A47" s="302" t="s">
        <v>362</v>
      </c>
      <c r="B47" s="309" t="s">
        <v>279</v>
      </c>
      <c r="C47" s="310">
        <f>'[3]KSS334_CUGNO E'!D23</f>
        <v>52696.141278080016</v>
      </c>
      <c r="D47" s="300">
        <f>'[3]KSS334_CUGNO E'!L9</f>
        <v>3129</v>
      </c>
      <c r="E47" s="301">
        <f t="shared" si="19"/>
        <v>16.841208462154047</v>
      </c>
      <c r="F47" s="309" t="s">
        <v>482</v>
      </c>
      <c r="G47" s="310">
        <f>'[4]KSS334_CUGNO E'!D25</f>
        <v>47024.120836688715</v>
      </c>
      <c r="H47" s="300">
        <f>'[4]KSS334_CUGNO E'!L11</f>
        <v>4065</v>
      </c>
      <c r="I47" s="301">
        <f>G47/H47</f>
        <v>11.568049406319487</v>
      </c>
      <c r="J47" s="309" t="s">
        <v>279</v>
      </c>
      <c r="K47" s="310">
        <f>'[5]KSS334_CUGNO E'!D35</f>
        <v>136266.65168390609</v>
      </c>
      <c r="L47" s="300">
        <f>'[5]KSS334_CUGNO E'!L21</f>
        <v>8914</v>
      </c>
      <c r="M47" s="301">
        <f>K47/L47</f>
        <v>15.286813067523681</v>
      </c>
      <c r="N47" s="309" t="s">
        <v>279</v>
      </c>
      <c r="O47" s="310">
        <f>'[6]KSS334_CUGNO E'!D36</f>
        <v>96499.058457127874</v>
      </c>
      <c r="P47" s="300">
        <f>'[6]KSS334_CUGNO E'!L22</f>
        <v>9892.0000299999992</v>
      </c>
      <c r="Q47" s="301">
        <f>O47/P47</f>
        <v>9.7552626531004858</v>
      </c>
      <c r="R47" s="309" t="s">
        <v>279</v>
      </c>
      <c r="S47" s="310">
        <f>'[7]KSS334_CUGNO E'!D37</f>
        <v>46906.225523645262</v>
      </c>
      <c r="T47" s="300">
        <f>'[7]KSS334_CUGNO E'!L23</f>
        <v>11990</v>
      </c>
      <c r="U47" s="301">
        <f t="shared" si="20"/>
        <v>3.9121122204875114</v>
      </c>
      <c r="V47" s="309" t="s">
        <v>279</v>
      </c>
      <c r="W47" s="310">
        <f>'[8]KSS334_CUGNO E'!D38</f>
        <v>171947.12598660175</v>
      </c>
      <c r="X47" s="300">
        <f>'[8]KSS334_CUGNO E'!L24</f>
        <v>10471</v>
      </c>
      <c r="Y47" s="301">
        <f t="shared" si="21"/>
        <v>16.421270746500024</v>
      </c>
      <c r="Z47" s="309" t="s">
        <v>279</v>
      </c>
      <c r="AA47" s="310">
        <f>'[9]KSS334_CUGNO E'!D36</f>
        <v>162778.43330256699</v>
      </c>
      <c r="AB47" s="300">
        <f>'[9]KSS334_CUGNO E'!L22</f>
        <v>9682</v>
      </c>
      <c r="AC47" s="301">
        <f t="shared" si="22"/>
        <v>16.812480200636955</v>
      </c>
      <c r="AD47" s="309" t="s">
        <v>279</v>
      </c>
      <c r="AE47" s="310">
        <f>'[10]KSS334_CUGNO E'!D39</f>
        <v>190035.66164608003</v>
      </c>
      <c r="AF47" s="300">
        <f>'[10]KSS334_CUGNO E'!L25</f>
        <v>10270</v>
      </c>
      <c r="AG47" s="301">
        <f t="shared" si="23"/>
        <v>18.503959264467383</v>
      </c>
      <c r="AH47" s="309" t="s">
        <v>279</v>
      </c>
      <c r="AI47" s="310">
        <f>'[11]KSS334_CUGNO E'!D34</f>
        <v>22079.60920538436</v>
      </c>
      <c r="AJ47" s="300">
        <f>'[11]KSS334_CUGNO E'!L20</f>
        <v>8863</v>
      </c>
      <c r="AK47" s="301">
        <f t="shared" si="24"/>
        <v>2.4912116896518515</v>
      </c>
      <c r="AL47" s="309" t="s">
        <v>279</v>
      </c>
      <c r="AM47" s="310">
        <f>'[1]KSS334_CUGNO E'!D43</f>
        <v>176017.79457538435</v>
      </c>
      <c r="AN47" s="300">
        <f>'[1]KSS334_CUGNO E'!L29</f>
        <v>12923</v>
      </c>
      <c r="AO47" s="301">
        <f t="shared" si="25"/>
        <v>13.620505654676496</v>
      </c>
      <c r="AP47" s="309" t="s">
        <v>279</v>
      </c>
      <c r="AQ47" s="310">
        <f>'[2]KSS334_CUGNO E'!D27</f>
        <v>141573.74496543079</v>
      </c>
      <c r="AR47" s="300">
        <f>'[2]KSS334_CUGNO E'!L13</f>
        <v>5475</v>
      </c>
      <c r="AS47" s="301">
        <f t="shared" si="26"/>
        <v>25.858218258526172</v>
      </c>
      <c r="AT47" s="309" t="s">
        <v>279</v>
      </c>
      <c r="AU47" s="310">
        <f>'KSS334_CUGNO E'!D31</f>
        <v>132379.82842786558</v>
      </c>
      <c r="AV47" s="300">
        <f>'KSS334_CUGNO E'!L17</f>
        <v>6490</v>
      </c>
      <c r="AW47" s="301">
        <f t="shared" si="27"/>
        <v>20.397508232336762</v>
      </c>
    </row>
    <row r="48" spans="1:49" x14ac:dyDescent="0.25">
      <c r="A48" s="302" t="s">
        <v>363</v>
      </c>
      <c r="B48" s="309" t="s">
        <v>151</v>
      </c>
      <c r="C48" s="310">
        <f>'[3]KNA501_CUGNO G'!D33</f>
        <v>139373.03998306554</v>
      </c>
      <c r="D48" s="300">
        <f>'[3]KNA501_CUGNO G'!L19</f>
        <v>8946</v>
      </c>
      <c r="E48" s="301">
        <f t="shared" si="19"/>
        <v>15.579369548744191</v>
      </c>
      <c r="F48" s="309" t="s">
        <v>151</v>
      </c>
      <c r="G48" s="310">
        <f>'[4]KNA501_CUGNO G'!D38</f>
        <v>151603.6376144742</v>
      </c>
      <c r="H48" s="300">
        <f>'[4]KNA501_CUGNO G'!L24</f>
        <v>10224</v>
      </c>
      <c r="I48" s="301">
        <f>G48/H48</f>
        <v>14.828211816752171</v>
      </c>
      <c r="J48" s="309" t="s">
        <v>151</v>
      </c>
      <c r="K48" s="310">
        <f>'[5]KNA501_CUGNO G'!D34</f>
        <v>126452.6544259061</v>
      </c>
      <c r="L48" s="300">
        <f>'[5]KNA501_CUGNO G'!L20</f>
        <v>8874</v>
      </c>
      <c r="M48" s="301">
        <f>K48/L48</f>
        <v>14.249792024555568</v>
      </c>
      <c r="N48" s="309" t="s">
        <v>151</v>
      </c>
      <c r="O48" s="310">
        <f>'[6]KNA501_CUGNO G'!D34</f>
        <v>46195.454436166969</v>
      </c>
      <c r="P48" s="300">
        <f>'[6]KNA501_CUGNO G'!L20</f>
        <v>9135</v>
      </c>
      <c r="Q48" s="301">
        <f>O48/P48</f>
        <v>5.0569736656997231</v>
      </c>
      <c r="R48" s="309" t="s">
        <v>305</v>
      </c>
      <c r="S48" s="310">
        <f>'[7]KNA501_CUGNO G'!D30</f>
        <v>69774.833079158285</v>
      </c>
      <c r="T48" s="300">
        <f>'[7]KNA501_CUGNO G'!L16</f>
        <v>7538</v>
      </c>
      <c r="U48" s="301">
        <f t="shared" si="20"/>
        <v>9.2564119234754951</v>
      </c>
      <c r="V48" s="309" t="s">
        <v>253</v>
      </c>
      <c r="W48" s="310">
        <f>'[8]KNA501_CUGNO G'!D34</f>
        <v>179336.24886677568</v>
      </c>
      <c r="X48" s="300">
        <f>'[8]KNA501_CUGNO G'!L20</f>
        <v>9173</v>
      </c>
      <c r="Y48" s="301">
        <f t="shared" si="21"/>
        <v>19.550446840376722</v>
      </c>
      <c r="Z48" s="309" t="s">
        <v>253</v>
      </c>
      <c r="AA48" s="310">
        <f>'[9]KNA501_CUGNO G'!D29</f>
        <v>138009.61497470611</v>
      </c>
      <c r="AB48" s="300">
        <f>'[9]KNA501_CUGNO G'!L15</f>
        <v>7544</v>
      </c>
      <c r="AC48" s="301">
        <f t="shared" si="22"/>
        <v>18.293957446275996</v>
      </c>
      <c r="AD48" s="309" t="s">
        <v>253</v>
      </c>
      <c r="AE48" s="310">
        <f>'[10]KNA501_CUGNO G'!D34</f>
        <v>128600.73882694959</v>
      </c>
      <c r="AF48" s="300">
        <f>'[10]KNA501_CUGNO G'!L20</f>
        <v>8766</v>
      </c>
      <c r="AG48" s="301">
        <f t="shared" si="23"/>
        <v>14.670401417630572</v>
      </c>
      <c r="AH48" s="309" t="s">
        <v>253</v>
      </c>
      <c r="AI48" s="310">
        <f>'[11]KNA501_CUGNO G'!D34</f>
        <v>181860.93800694961</v>
      </c>
      <c r="AJ48" s="300">
        <f>'[11]KNA501_CUGNO G'!L20</f>
        <v>8195</v>
      </c>
      <c r="AK48" s="301">
        <f t="shared" si="24"/>
        <v>22.191694692733325</v>
      </c>
      <c r="AL48" s="309" t="s">
        <v>253</v>
      </c>
      <c r="AM48" s="310">
        <f>'[1]KNA501_CUGNO G'!D36</f>
        <v>222876.25139338439</v>
      </c>
      <c r="AN48" s="300">
        <f>'[1]KNA501_CUGNO G'!L22</f>
        <v>10991</v>
      </c>
      <c r="AO48" s="301">
        <f t="shared" si="25"/>
        <v>20.278068546391083</v>
      </c>
      <c r="AP48" s="309" t="s">
        <v>253</v>
      </c>
      <c r="AQ48" s="310">
        <f>'[2]KNA501_CUGNO G'!D39</f>
        <v>243431.73266056125</v>
      </c>
      <c r="AR48" s="300">
        <f>'[2]KNA501_CUGNO G'!L25</f>
        <v>12205</v>
      </c>
      <c r="AS48" s="301">
        <f t="shared" si="26"/>
        <v>19.945246428558889</v>
      </c>
      <c r="AT48" s="309" t="s">
        <v>253</v>
      </c>
      <c r="AU48" s="310">
        <f>'KNA501_CUGNO G'!D39</f>
        <v>264478.18767890905</v>
      </c>
      <c r="AV48" s="300">
        <f>'KNA501_CUGNO G'!L25</f>
        <v>11115</v>
      </c>
      <c r="AW48" s="301">
        <f t="shared" si="27"/>
        <v>23.794708743041749</v>
      </c>
    </row>
    <row r="49" spans="1:49" x14ac:dyDescent="0.25">
      <c r="A49" s="302" t="s">
        <v>364</v>
      </c>
      <c r="B49" s="309" t="s">
        <v>289</v>
      </c>
      <c r="C49" s="310">
        <f>'[3]HPJ126_CUGNO G'!D33</f>
        <v>123422.08767112347</v>
      </c>
      <c r="D49" s="300">
        <f>'[3]HPJ126_CUGNO G'!L19</f>
        <v>9161</v>
      </c>
      <c r="E49" s="301">
        <f t="shared" si="19"/>
        <v>13.472556235249806</v>
      </c>
      <c r="F49" s="309" t="s">
        <v>289</v>
      </c>
      <c r="G49" s="310">
        <f>'[4]HPJ126_CUGNO G'!D37</f>
        <v>99357.860089975671</v>
      </c>
      <c r="H49" s="300">
        <f>'[4]HPJ126_CUGNO G'!L23</f>
        <v>8281</v>
      </c>
      <c r="I49" s="301">
        <f>G49/H49</f>
        <v>11.998292487619329</v>
      </c>
      <c r="J49" s="309" t="s">
        <v>482</v>
      </c>
      <c r="K49" s="310">
        <f>'[5]HPJ126_CUGNO G'!D34</f>
        <v>116150.09477790611</v>
      </c>
      <c r="L49" s="300">
        <f>'[5]HPJ126_CUGNO G'!L20</f>
        <v>8598</v>
      </c>
      <c r="M49" s="301">
        <f>K49/L49</f>
        <v>13.508966594313341</v>
      </c>
      <c r="N49" s="309" t="s">
        <v>183</v>
      </c>
      <c r="O49" s="310">
        <f>'[6]HPJ834_CUGNO G'!D35</f>
        <v>-68455.573677746055</v>
      </c>
      <c r="P49" s="300">
        <f>'[6]HPJ834_CUGNO G'!L21</f>
        <v>8914</v>
      </c>
      <c r="Q49" s="301">
        <f>O49/P49</f>
        <v>-7.6795572894038653</v>
      </c>
      <c r="R49" s="309" t="s">
        <v>183</v>
      </c>
      <c r="S49" s="310">
        <f>'[7]HPJ126_CUGNO G'!D38</f>
        <v>119488.77279101918</v>
      </c>
      <c r="T49" s="300">
        <f>'[7]HPJ126_CUGNO G'!L24</f>
        <v>9026</v>
      </c>
      <c r="U49" s="301">
        <f t="shared" si="20"/>
        <v>13.23828637170609</v>
      </c>
      <c r="V49" s="309" t="s">
        <v>183</v>
      </c>
      <c r="W49" s="310">
        <f>'[8]HPJ126_CUGNO G'!D30</f>
        <v>148790.49651286262</v>
      </c>
      <c r="X49" s="300">
        <f>'[8]HPJ126_CUGNO G'!L16</f>
        <v>8064</v>
      </c>
      <c r="Y49" s="301">
        <f t="shared" si="21"/>
        <v>18.451202444551416</v>
      </c>
      <c r="Z49" s="309" t="s">
        <v>183</v>
      </c>
      <c r="AA49" s="310">
        <f>'[9]HPJ126_CUGNO G'!D34</f>
        <v>121990.19791162788</v>
      </c>
      <c r="AB49" s="300">
        <f>'[9]HPJ126_CUGNO G'!L20</f>
        <v>8531</v>
      </c>
      <c r="AC49" s="301">
        <f t="shared" si="22"/>
        <v>14.299636374590069</v>
      </c>
      <c r="AD49" s="309" t="s">
        <v>183</v>
      </c>
      <c r="AE49" s="310">
        <f>'[10]HPJ126_CUGNO G'!D33</f>
        <v>131133.99933894959</v>
      </c>
      <c r="AF49" s="300">
        <f>'[10]HPJ126_CUGNO G'!L19</f>
        <v>7892</v>
      </c>
      <c r="AG49" s="301">
        <f t="shared" si="23"/>
        <v>16.616066819431019</v>
      </c>
      <c r="AH49" s="309" t="s">
        <v>183</v>
      </c>
      <c r="AI49" s="310">
        <f>'[11]HPJ126_CUGNO G'!D32</f>
        <v>162771.72005373216</v>
      </c>
      <c r="AJ49" s="300">
        <f>'[11]HPJ126_CUGNO G'!L18</f>
        <v>8850</v>
      </c>
      <c r="AK49" s="301">
        <f t="shared" si="24"/>
        <v>18.392284751834143</v>
      </c>
      <c r="AL49" s="309" t="s">
        <v>183</v>
      </c>
      <c r="AM49" s="310">
        <f>'[1]HPJ126_CUGNO G'!D38</f>
        <v>154150.57681860178</v>
      </c>
      <c r="AN49" s="300">
        <f>'[1]HPJ126_CUGNO G'!L24</f>
        <v>11412</v>
      </c>
      <c r="AO49" s="301">
        <f t="shared" si="25"/>
        <v>13.507761726130544</v>
      </c>
      <c r="AP49" s="309" t="s">
        <v>183</v>
      </c>
      <c r="AQ49" s="310">
        <f>'[2]HPJ126_CUGNO G'!D43</f>
        <v>280346.23608508299</v>
      </c>
      <c r="AR49" s="300">
        <f>'[2]HPJ126_CUGNO G'!L29</f>
        <v>14446</v>
      </c>
      <c r="AS49" s="301">
        <f t="shared" si="26"/>
        <v>19.406495644820918</v>
      </c>
      <c r="AT49" s="309" t="s">
        <v>183</v>
      </c>
      <c r="AU49" s="310">
        <f>'HPJ126_CUGNO G'!D33</f>
        <v>94559.459766752523</v>
      </c>
      <c r="AV49" s="300">
        <f>'HPJ126_CUGNO G'!L19</f>
        <v>7966</v>
      </c>
      <c r="AW49" s="301">
        <f t="shared" si="27"/>
        <v>11.87038159261267</v>
      </c>
    </row>
    <row r="50" spans="1:49" hidden="1" x14ac:dyDescent="0.25">
      <c r="A50" s="302" t="s">
        <v>1110</v>
      </c>
      <c r="B50" s="309"/>
      <c r="C50" s="310"/>
      <c r="D50" s="300"/>
      <c r="E50" s="301"/>
      <c r="F50" s="309"/>
      <c r="G50" s="310"/>
      <c r="H50" s="300"/>
      <c r="I50" s="301"/>
      <c r="J50" s="309"/>
      <c r="K50" s="310"/>
      <c r="L50" s="300"/>
      <c r="M50" s="301"/>
      <c r="N50" s="309"/>
      <c r="O50" s="310"/>
      <c r="P50" s="300"/>
      <c r="Q50" s="301"/>
      <c r="R50" s="309"/>
      <c r="S50" s="310"/>
      <c r="T50" s="300"/>
      <c r="U50" s="301" t="e">
        <f t="shared" si="20"/>
        <v>#DIV/0!</v>
      </c>
      <c r="V50" s="309"/>
      <c r="W50" s="310"/>
      <c r="X50" s="300"/>
      <c r="Y50" s="301" t="e">
        <f t="shared" si="21"/>
        <v>#DIV/0!</v>
      </c>
      <c r="Z50" s="309"/>
      <c r="AA50" s="310"/>
      <c r="AB50" s="300"/>
      <c r="AC50" s="301" t="e">
        <f t="shared" si="22"/>
        <v>#DIV/0!</v>
      </c>
      <c r="AD50" s="309"/>
      <c r="AE50" s="310"/>
      <c r="AF50" s="300"/>
      <c r="AG50" s="301" t="e">
        <f t="shared" si="23"/>
        <v>#DIV/0!</v>
      </c>
      <c r="AH50" s="309"/>
      <c r="AI50" s="310"/>
      <c r="AJ50" s="300"/>
      <c r="AK50" s="301" t="e">
        <f t="shared" si="24"/>
        <v>#DIV/0!</v>
      </c>
      <c r="AL50" s="309"/>
      <c r="AM50" s="310"/>
      <c r="AN50" s="300"/>
      <c r="AO50" s="301" t="e">
        <f t="shared" si="25"/>
        <v>#DIV/0!</v>
      </c>
      <c r="AP50" s="309"/>
      <c r="AQ50" s="310"/>
      <c r="AR50" s="300"/>
      <c r="AS50" s="301" t="e">
        <f t="shared" si="26"/>
        <v>#DIV/0!</v>
      </c>
      <c r="AT50" s="309"/>
      <c r="AU50" s="310"/>
      <c r="AV50" s="300"/>
      <c r="AW50" s="301" t="e">
        <f t="shared" si="27"/>
        <v>#DIV/0!</v>
      </c>
    </row>
    <row r="51" spans="1:49" x14ac:dyDescent="0.25">
      <c r="A51" s="302" t="s">
        <v>365</v>
      </c>
      <c r="B51" s="309" t="s">
        <v>309</v>
      </c>
      <c r="C51" s="310">
        <f>'[3]MMN880_CUGNO M'!D35</f>
        <v>108280.96713738437</v>
      </c>
      <c r="D51" s="300">
        <f>'[3]MMN880_CUGNO M'!L21</f>
        <v>9220</v>
      </c>
      <c r="E51" s="301">
        <f t="shared" si="19"/>
        <v>11.744139602753187</v>
      </c>
      <c r="F51" s="309" t="s">
        <v>309</v>
      </c>
      <c r="G51" s="310">
        <f>'[4]MMN880_CUGNO M'!D38</f>
        <v>148092.11351745395</v>
      </c>
      <c r="H51" s="300">
        <f>'[4]MMN880_CUGNO M'!L24</f>
        <v>11206</v>
      </c>
      <c r="I51" s="301">
        <f>G51/H51</f>
        <v>13.215430440608063</v>
      </c>
      <c r="J51" s="309" t="s">
        <v>309</v>
      </c>
      <c r="K51" s="310">
        <f>'[5]MMN880_CUGNO M'!D36</f>
        <v>128577.74619390612</v>
      </c>
      <c r="L51" s="300">
        <f>'[5]MMN880_CUGNO M'!L22</f>
        <v>9782</v>
      </c>
      <c r="M51" s="301">
        <f>K51/L51</f>
        <v>13.144320813116552</v>
      </c>
      <c r="N51" s="309" t="s">
        <v>309</v>
      </c>
      <c r="O51" s="310">
        <f>'[6]MMN880_CUGNO M'!D37</f>
        <v>168155.20514051482</v>
      </c>
      <c r="P51" s="300">
        <f>'[6]MMN880_CUGNO M'!L23</f>
        <v>10068</v>
      </c>
      <c r="Q51" s="301">
        <f t="shared" ref="Q51:Q61" si="28">O51/P51</f>
        <v>16.701947272597817</v>
      </c>
      <c r="R51" s="309" t="s">
        <v>309</v>
      </c>
      <c r="S51" s="310">
        <f>'[7]MMN880_CUGNO M'!D40</f>
        <v>158676.76867712353</v>
      </c>
      <c r="T51" s="300">
        <f>'[7]MMN880_CUGNO M'!L26</f>
        <v>12165</v>
      </c>
      <c r="U51" s="301">
        <f t="shared" si="20"/>
        <v>13.043713002640652</v>
      </c>
      <c r="V51" s="309" t="s">
        <v>309</v>
      </c>
      <c r="W51" s="310">
        <f>'[8]MMN880_CUGNO M'!D39</f>
        <v>208788.41270242789</v>
      </c>
      <c r="X51" s="300">
        <f>'[8]MMN880_CUGNO M'!L25</f>
        <v>11493</v>
      </c>
      <c r="Y51" s="301">
        <f t="shared" si="21"/>
        <v>18.166572061465924</v>
      </c>
      <c r="Z51" s="309" t="s">
        <v>309</v>
      </c>
      <c r="AA51" s="310">
        <f>'[9]MMN838_CUGNO M'!D27</f>
        <v>74972.681388219149</v>
      </c>
      <c r="AB51" s="300">
        <f>'[9]MMN838_CUGNO M'!L13</f>
        <v>6057</v>
      </c>
      <c r="AC51" s="301">
        <f t="shared" si="22"/>
        <v>12.377857254122363</v>
      </c>
      <c r="AD51" s="309" t="s">
        <v>309</v>
      </c>
      <c r="AE51" s="310">
        <f>'[10]MMN880_CUGNO M'!D35</f>
        <v>172930.0109331235</v>
      </c>
      <c r="AF51" s="300">
        <f>'[10]MMN880_CUGNO M'!L21</f>
        <v>10181</v>
      </c>
      <c r="AG51" s="301">
        <f t="shared" si="23"/>
        <v>16.985562413625725</v>
      </c>
      <c r="AH51" s="309" t="s">
        <v>309</v>
      </c>
      <c r="AI51" s="310">
        <f>'[11]MMN880_CUGNO M'!D35</f>
        <v>180588.08310277565</v>
      </c>
      <c r="AJ51" s="300">
        <f>'[11]MMN880_CUGNO M'!L21</f>
        <v>9938</v>
      </c>
      <c r="AK51" s="301">
        <f t="shared" si="24"/>
        <v>18.171471433163177</v>
      </c>
      <c r="AL51" s="309" t="s">
        <v>309</v>
      </c>
      <c r="AM51" s="310">
        <f>'[1]MMN880_CUGNO M'!D42</f>
        <v>259222.58753973222</v>
      </c>
      <c r="AN51" s="300">
        <f>'[1]MMN880_CUGNO M'!L28</f>
        <v>12948</v>
      </c>
      <c r="AO51" s="301">
        <f t="shared" si="25"/>
        <v>20.020280162166529</v>
      </c>
      <c r="AP51" s="309" t="s">
        <v>309</v>
      </c>
      <c r="AQ51" s="310">
        <f>'[2]MMN880_CUGNO M'!D44</f>
        <v>308374.20455247437</v>
      </c>
      <c r="AR51" s="300">
        <f>'[2]MMN880_CUGNO M'!L30</f>
        <v>13867</v>
      </c>
      <c r="AS51" s="301">
        <f t="shared" si="26"/>
        <v>22.237989799702486</v>
      </c>
      <c r="AT51" s="309" t="s">
        <v>309</v>
      </c>
      <c r="AU51" s="310">
        <f>'MMN880_CUGNO M'!D40</f>
        <v>214694.29885657859</v>
      </c>
      <c r="AV51" s="300">
        <f>'MMN880_CUGNO M'!L26</f>
        <v>12006</v>
      </c>
      <c r="AW51" s="301">
        <f t="shared" si="27"/>
        <v>17.882250446158469</v>
      </c>
    </row>
    <row r="52" spans="1:49" x14ac:dyDescent="0.25">
      <c r="A52" s="302" t="s">
        <v>366</v>
      </c>
      <c r="B52" s="309" t="s">
        <v>317</v>
      </c>
      <c r="C52" s="310">
        <f>[3]JJA110_GENTA!D32</f>
        <v>135607.67054228293</v>
      </c>
      <c r="D52" s="300">
        <f>[3]JJA110_GENTA!L18</f>
        <v>8999</v>
      </c>
      <c r="E52" s="301">
        <f t="shared" si="19"/>
        <v>15.069193303954098</v>
      </c>
      <c r="F52" s="309" t="s">
        <v>225</v>
      </c>
      <c r="G52" s="310">
        <f>[4]JJA110_GENTA!D31</f>
        <v>70660.147747309005</v>
      </c>
      <c r="H52" s="300">
        <f>[4]JJA110_GENTA!L17</f>
        <v>5981</v>
      </c>
      <c r="I52" s="301">
        <f>G52/H52</f>
        <v>11.81410261616937</v>
      </c>
      <c r="J52" s="309" t="s">
        <v>225</v>
      </c>
      <c r="K52" s="310">
        <f>[5]JJA110_GENTA!D24</f>
        <v>53317.663753906105</v>
      </c>
      <c r="L52" s="300">
        <f>[5]JJA110_GENTA!L10</f>
        <v>3328</v>
      </c>
      <c r="M52" s="301">
        <f>K52/L52</f>
        <v>16.020932618361208</v>
      </c>
      <c r="N52" s="309" t="s">
        <v>225</v>
      </c>
      <c r="O52" s="310">
        <f>[6]JJA110_GENTA!D33</f>
        <v>140153.42488434087</v>
      </c>
      <c r="P52" s="300">
        <f>[6]JJA110_GENTA!L19</f>
        <v>8900</v>
      </c>
      <c r="Q52" s="301">
        <f t="shared" si="28"/>
        <v>15.747575829701221</v>
      </c>
      <c r="R52" s="309" t="s">
        <v>225</v>
      </c>
      <c r="S52" s="310">
        <f>[7]JJA110_GENTA!D26</f>
        <v>84295.423946619179</v>
      </c>
      <c r="T52" s="300">
        <f>[7]JJA110_GENTA!L12</f>
        <v>7554</v>
      </c>
      <c r="U52" s="301">
        <f t="shared" si="20"/>
        <v>11.159044737439658</v>
      </c>
      <c r="V52" s="309" t="s">
        <v>225</v>
      </c>
      <c r="W52" s="310">
        <f>[8]JJA110_GENTA!D37</f>
        <v>180699.20939477568</v>
      </c>
      <c r="X52" s="300">
        <f>[8]JJA110_GENTA!L23</f>
        <v>10990</v>
      </c>
      <c r="Y52" s="301">
        <f t="shared" si="21"/>
        <v>16.442148261581046</v>
      </c>
      <c r="Z52" s="309" t="s">
        <v>225</v>
      </c>
      <c r="AA52" s="310">
        <f>[9]JJA110_GENTA!D32</f>
        <v>146844.94475616698</v>
      </c>
      <c r="AB52" s="300">
        <f>[9]JJA110_GENTA!L18</f>
        <v>9245</v>
      </c>
      <c r="AC52" s="301">
        <f t="shared" si="22"/>
        <v>15.883714954696266</v>
      </c>
      <c r="AD52" s="309" t="s">
        <v>225</v>
      </c>
      <c r="AE52" s="310">
        <f>[10]JJA110_GENTA!D35</f>
        <v>135957.76013955826</v>
      </c>
      <c r="AF52" s="300">
        <f>[10]JJA110_GENTA!L21</f>
        <v>7980</v>
      </c>
      <c r="AG52" s="301">
        <f t="shared" si="23"/>
        <v>17.037313300696525</v>
      </c>
      <c r="AH52" s="309" t="s">
        <v>225</v>
      </c>
      <c r="AI52" s="310">
        <f>[11]JJA110_GENTA!D32</f>
        <v>153244.08462912351</v>
      </c>
      <c r="AJ52" s="300">
        <f>[11]JJA110_GENTA!L18</f>
        <v>7510</v>
      </c>
      <c r="AK52" s="301">
        <f t="shared" si="24"/>
        <v>20.40533750054907</v>
      </c>
      <c r="AL52" s="309" t="s">
        <v>225</v>
      </c>
      <c r="AM52" s="310">
        <f>[1]JJA110_GENTA!D36</f>
        <v>224125.45348868874</v>
      </c>
      <c r="AN52" s="300">
        <f>[1]JJA110_GENTA!L22</f>
        <v>10320</v>
      </c>
      <c r="AO52" s="301">
        <f t="shared" si="25"/>
        <v>21.71758270239232</v>
      </c>
      <c r="AP52" s="309" t="s">
        <v>225</v>
      </c>
      <c r="AQ52" s="310">
        <f>[2]JJA110_GENTA!D37</f>
        <v>232046.19680621335</v>
      </c>
      <c r="AR52" s="300">
        <f>[2]JJA110_GENTA!L23</f>
        <v>10688</v>
      </c>
      <c r="AS52" s="301">
        <f t="shared" si="26"/>
        <v>21.710909132317866</v>
      </c>
      <c r="AT52" s="309" t="s">
        <v>225</v>
      </c>
      <c r="AU52" s="310">
        <f>JJA110_GENTA!D35</f>
        <v>173012.59877963949</v>
      </c>
      <c r="AV52" s="300">
        <f>JJA110_GENTA!L21</f>
        <v>9672</v>
      </c>
      <c r="AW52" s="301">
        <f t="shared" si="27"/>
        <v>17.887985812617814</v>
      </c>
    </row>
    <row r="53" spans="1:49" x14ac:dyDescent="0.25">
      <c r="A53" s="302" t="s">
        <v>367</v>
      </c>
      <c r="B53" s="309" t="s">
        <v>49</v>
      </c>
      <c r="C53" s="310">
        <f>[3]AA702TE_GIACONE!D37</f>
        <v>166244.38975541337</v>
      </c>
      <c r="D53" s="300">
        <f>[3]AA702TE_GIACONE!L23</f>
        <v>10167</v>
      </c>
      <c r="E53" s="301">
        <f t="shared" si="19"/>
        <v>16.351371078529887</v>
      </c>
      <c r="F53" s="309" t="s">
        <v>49</v>
      </c>
      <c r="G53" s="310">
        <f>[4]AA702TE_GIACONE!D39</f>
        <v>155994.92976666553</v>
      </c>
      <c r="H53" s="300">
        <f>[4]AA702TE_GIACONE!L25</f>
        <v>9738</v>
      </c>
      <c r="I53" s="301">
        <f>G53/H53</f>
        <v>16.01919590949533</v>
      </c>
      <c r="J53" s="309" t="s">
        <v>49</v>
      </c>
      <c r="K53" s="310">
        <f>[5]AA702TE_GIACONE!D33</f>
        <v>135802.62198390611</v>
      </c>
      <c r="L53" s="300">
        <f>[5]AA702TE_GIACONE!L19</f>
        <v>8613</v>
      </c>
      <c r="M53" s="301">
        <f>K53/L53</f>
        <v>15.767168464403357</v>
      </c>
      <c r="N53" s="309" t="s">
        <v>49</v>
      </c>
      <c r="O53" s="310">
        <f>[6]AA702TE_GIACONE!D34</f>
        <v>151832.3463875583</v>
      </c>
      <c r="P53" s="300">
        <f>[6]AA702TE_GIACONE!L20</f>
        <v>8681</v>
      </c>
      <c r="Q53" s="301">
        <f t="shared" si="28"/>
        <v>17.490190806077443</v>
      </c>
      <c r="R53" s="309" t="s">
        <v>49</v>
      </c>
      <c r="S53" s="310">
        <f>[7]AA702TE_GIACONE!D41</f>
        <v>161900.88949618439</v>
      </c>
      <c r="T53" s="300">
        <f>[7]AA702TE_GIACONE!L27</f>
        <v>12204</v>
      </c>
      <c r="U53" s="301">
        <f t="shared" si="20"/>
        <v>13.266215134069517</v>
      </c>
      <c r="V53" s="309" t="s">
        <v>49</v>
      </c>
      <c r="W53" s="310">
        <f>[8]AA702TE_GIACONE!D38</f>
        <v>170793.73090077567</v>
      </c>
      <c r="X53" s="300">
        <f>[8]AA702TE_GIACONE!L24</f>
        <v>10484</v>
      </c>
      <c r="Y53" s="301">
        <f t="shared" si="21"/>
        <v>16.290893828765324</v>
      </c>
      <c r="Z53" s="309" t="s">
        <v>49</v>
      </c>
      <c r="AA53" s="310">
        <f>[9]AA702TE_GIACONE!D31</f>
        <v>138083.66546968001</v>
      </c>
      <c r="AB53" s="300">
        <f>[9]AA702TE_GIACONE!L17</f>
        <v>6838</v>
      </c>
      <c r="AC53" s="301">
        <f t="shared" si="22"/>
        <v>20.1935749443814</v>
      </c>
      <c r="AD53" s="309" t="s">
        <v>49</v>
      </c>
      <c r="AE53" s="310">
        <f>[10]AA702TE_GIACONE!D35</f>
        <v>177266.8829032974</v>
      </c>
      <c r="AF53" s="300">
        <f>[10]AA702TE_GIACONE!L21</f>
        <v>9158</v>
      </c>
      <c r="AG53" s="301">
        <f t="shared" si="23"/>
        <v>19.356506104312885</v>
      </c>
      <c r="AH53" s="309" t="s">
        <v>49</v>
      </c>
      <c r="AI53" s="310">
        <f>[11]AA702TE_GIACONE!D31</f>
        <v>163783.17199121046</v>
      </c>
      <c r="AJ53" s="300">
        <f>[11]AA702TE_GIACONE!L17</f>
        <v>8306</v>
      </c>
      <c r="AK53" s="301">
        <f t="shared" si="24"/>
        <v>19.718657836649466</v>
      </c>
      <c r="AL53" s="309" t="s">
        <v>49</v>
      </c>
      <c r="AM53" s="310">
        <f>[1]AA702TE_GIACONE!D36</f>
        <v>229188.31351712346</v>
      </c>
      <c r="AN53" s="300">
        <f>[1]AA702TE_GIACONE!L22</f>
        <v>9943</v>
      </c>
      <c r="AO53" s="301">
        <f t="shared" si="25"/>
        <v>23.050217591986669</v>
      </c>
      <c r="AP53" s="309" t="s">
        <v>49</v>
      </c>
      <c r="AQ53" s="310">
        <f>[2]AA702TE_GIACONE!D42</f>
        <v>328358.21304273524</v>
      </c>
      <c r="AR53" s="300">
        <f>[2]AA702TE_GIACONE!L28</f>
        <v>14263</v>
      </c>
      <c r="AS53" s="301">
        <f t="shared" si="26"/>
        <v>23.02167938321077</v>
      </c>
      <c r="AT53" s="309" t="s">
        <v>49</v>
      </c>
      <c r="AU53" s="310">
        <f>AA702TE_GIACONE!D23</f>
        <v>40261.462180804709</v>
      </c>
      <c r="AV53" s="300">
        <f>AA702TE_GIACONE!L9</f>
        <v>2844</v>
      </c>
      <c r="AW53" s="301">
        <f t="shared" si="27"/>
        <v>14.156632271731613</v>
      </c>
    </row>
    <row r="54" spans="1:49" ht="15.75" thickBot="1" x14ac:dyDescent="0.3">
      <c r="A54" s="302" t="s">
        <v>368</v>
      </c>
      <c r="B54" s="309" t="s">
        <v>73</v>
      </c>
      <c r="C54" s="310">
        <f>[3]AB595CA_GUAL!D33</f>
        <v>24510.445751732186</v>
      </c>
      <c r="D54" s="300">
        <f>[3]AB595CA_GUAL!L19</f>
        <v>7290</v>
      </c>
      <c r="E54" s="301">
        <f t="shared" si="19"/>
        <v>3.3622010633377486</v>
      </c>
      <c r="F54" s="309" t="s">
        <v>73</v>
      </c>
      <c r="G54" s="310">
        <f>[4]AB595CA_GUAL!D35</f>
        <v>119838.12256618439</v>
      </c>
      <c r="H54" s="300">
        <f>[4]AB595CA_GUAL!L21</f>
        <v>8284</v>
      </c>
      <c r="I54" s="301">
        <f>G54/H54</f>
        <v>14.46621469895997</v>
      </c>
      <c r="J54" s="309" t="s">
        <v>73</v>
      </c>
      <c r="K54" s="310">
        <f>[5]AB595CA_GUAL!D35</f>
        <v>128456.96904390611</v>
      </c>
      <c r="L54" s="300">
        <f>[5]AB595CA_GUAL!L21</f>
        <v>8583</v>
      </c>
      <c r="M54" s="301">
        <f>K54/L54</f>
        <v>14.966441692171282</v>
      </c>
      <c r="N54" s="309" t="s">
        <v>73</v>
      </c>
      <c r="O54" s="310">
        <f>[6]AB595CA_GUAL!D36</f>
        <v>178523.02037442784</v>
      </c>
      <c r="P54" s="300">
        <f>[6]AB595CA_GUAL!L22</f>
        <v>10358</v>
      </c>
      <c r="Q54" s="301">
        <f t="shared" si="28"/>
        <v>17.235279047540821</v>
      </c>
      <c r="R54" s="309" t="s">
        <v>73</v>
      </c>
      <c r="S54" s="310">
        <f>[7]AB595CA_GUAL!D44</f>
        <v>216824.57291460177</v>
      </c>
      <c r="T54" s="300">
        <f>[7]AB595CA_GUAL!L30</f>
        <v>13260</v>
      </c>
      <c r="U54" s="301">
        <f t="shared" si="20"/>
        <v>16.351777746199229</v>
      </c>
      <c r="V54" s="309" t="s">
        <v>73</v>
      </c>
      <c r="W54" s="310">
        <f>[8]AB595CA_GUAL!D36</f>
        <v>183463.90425921042</v>
      </c>
      <c r="X54" s="300">
        <f>[8]AB595CA_GUAL!L22</f>
        <v>11356</v>
      </c>
      <c r="Y54" s="301">
        <f t="shared" si="21"/>
        <v>16.155680191899474</v>
      </c>
      <c r="Z54" s="309" t="s">
        <v>73</v>
      </c>
      <c r="AA54" s="310">
        <f>[9]AB595CA_GUAL!D37</f>
        <v>185953.10621117568</v>
      </c>
      <c r="AB54" s="300">
        <f>[9]AB595CA_GUAL!L23</f>
        <v>10362</v>
      </c>
      <c r="AC54" s="301">
        <f t="shared" si="22"/>
        <v>17.945677109744807</v>
      </c>
      <c r="AD54" s="309" t="s">
        <v>73</v>
      </c>
      <c r="AE54" s="310">
        <f>[10]AB595CA_GUAL!D35</f>
        <v>209819.07064077567</v>
      </c>
      <c r="AF54" s="300">
        <f>[10]AB595CA_GUAL!L21</f>
        <v>10019</v>
      </c>
      <c r="AG54" s="301">
        <f t="shared" si="23"/>
        <v>20.942117041698339</v>
      </c>
      <c r="AH54" s="309" t="s">
        <v>73</v>
      </c>
      <c r="AI54" s="310">
        <f>[11]AB595CA_GUAL!D31</f>
        <v>185528.52027816701</v>
      </c>
      <c r="AJ54" s="300">
        <f>[11]AB595CA_GUAL!L17</f>
        <v>8736</v>
      </c>
      <c r="AK54" s="301">
        <f t="shared" si="24"/>
        <v>21.237239042830474</v>
      </c>
      <c r="AL54" s="309" t="s">
        <v>73</v>
      </c>
      <c r="AM54" s="310">
        <f>[1]AB595CA_GUAL!D39</f>
        <v>249681.07514773222</v>
      </c>
      <c r="AN54" s="300">
        <f>[1]AB595CA_GUAL!L25</f>
        <v>11706</v>
      </c>
      <c r="AO54" s="301">
        <f t="shared" si="25"/>
        <v>21.329324717899556</v>
      </c>
      <c r="AP54" s="309" t="s">
        <v>73</v>
      </c>
      <c r="AQ54" s="310">
        <f>[2]AB595CA_GUAL!D35</f>
        <v>121190.75927510357</v>
      </c>
      <c r="AR54" s="300">
        <f>[2]AB595CA_GUAL!L21</f>
        <v>10565</v>
      </c>
      <c r="AS54" s="301">
        <f t="shared" si="26"/>
        <v>11.470966329872558</v>
      </c>
      <c r="AT54" s="309" t="s">
        <v>73</v>
      </c>
      <c r="AU54" s="310">
        <f>AB595CA_GUAL!D38</f>
        <v>228384.4140657644</v>
      </c>
      <c r="AV54" s="300">
        <f>AB595CA_GUAL!L24</f>
        <v>11683</v>
      </c>
      <c r="AW54" s="301">
        <f t="shared" si="27"/>
        <v>19.548439105175419</v>
      </c>
    </row>
    <row r="55" spans="1:49" hidden="1" x14ac:dyDescent="0.25">
      <c r="A55" s="302" t="s">
        <v>1111</v>
      </c>
      <c r="B55" s="309"/>
      <c r="C55" s="310"/>
      <c r="D55" s="300"/>
      <c r="E55" s="301"/>
      <c r="F55" s="309"/>
      <c r="G55" s="310"/>
      <c r="H55" s="300"/>
      <c r="I55" s="301"/>
      <c r="J55" s="309"/>
      <c r="K55" s="310"/>
      <c r="L55" s="300"/>
      <c r="M55" s="301"/>
      <c r="N55" s="309"/>
      <c r="O55" s="310"/>
      <c r="P55" s="300"/>
      <c r="Q55" s="301"/>
      <c r="R55" s="309"/>
      <c r="S55" s="310"/>
      <c r="T55" s="300"/>
      <c r="U55" s="301" t="e">
        <f t="shared" si="20"/>
        <v>#DIV/0!</v>
      </c>
      <c r="V55" s="309"/>
      <c r="W55" s="310"/>
      <c r="X55" s="300"/>
      <c r="Y55" s="301" t="e">
        <f t="shared" si="21"/>
        <v>#DIV/0!</v>
      </c>
      <c r="Z55" s="309"/>
      <c r="AA55" s="310"/>
      <c r="AB55" s="300"/>
      <c r="AC55" s="301" t="e">
        <f t="shared" si="22"/>
        <v>#DIV/0!</v>
      </c>
      <c r="AD55" s="309"/>
      <c r="AE55" s="310"/>
      <c r="AF55" s="300"/>
      <c r="AG55" s="301" t="e">
        <f t="shared" si="23"/>
        <v>#DIV/0!</v>
      </c>
      <c r="AH55" s="309"/>
      <c r="AI55" s="310"/>
      <c r="AJ55" s="300"/>
      <c r="AK55" s="301"/>
      <c r="AL55" s="309"/>
      <c r="AM55" s="310"/>
      <c r="AN55" s="300"/>
      <c r="AO55" s="301"/>
      <c r="AP55" s="309"/>
      <c r="AQ55" s="310"/>
      <c r="AR55" s="300"/>
      <c r="AS55" s="301" t="e">
        <f t="shared" si="26"/>
        <v>#DIV/0!</v>
      </c>
      <c r="AT55" s="309"/>
      <c r="AU55" s="310"/>
      <c r="AV55" s="300"/>
      <c r="AW55" s="301"/>
    </row>
    <row r="56" spans="1:49" hidden="1" x14ac:dyDescent="0.25">
      <c r="A56" s="302" t="s">
        <v>1112</v>
      </c>
      <c r="B56" s="309" t="s">
        <v>175</v>
      </c>
      <c r="C56" s="310">
        <f>[3]HFJ834_GUAL!D49</f>
        <v>92273.847862022056</v>
      </c>
      <c r="D56" s="300">
        <f>[3]HFJ834_GUAL!L35</f>
        <v>8480</v>
      </c>
      <c r="E56" s="301">
        <f t="shared" si="19"/>
        <v>10.881349983729017</v>
      </c>
      <c r="F56" s="309" t="s">
        <v>175</v>
      </c>
      <c r="G56" s="310">
        <f>[4]HFJ834_GUAL!D36</f>
        <v>56208.593704300314</v>
      </c>
      <c r="H56" s="300">
        <f>[4]HFJ834_GUAL!L22</f>
        <v>4184</v>
      </c>
      <c r="I56" s="301">
        <f>G56/H56</f>
        <v>13.434176315559348</v>
      </c>
      <c r="J56" s="309" t="s">
        <v>175</v>
      </c>
      <c r="K56" s="310">
        <f>[5]HFJ834_GUAL!D45</f>
        <v>114200.32727723946</v>
      </c>
      <c r="L56" s="300">
        <f>[5]HFJ834_GUAL!L31</f>
        <v>8160</v>
      </c>
      <c r="M56" s="301">
        <f>K56/L56</f>
        <v>13.995138146720521</v>
      </c>
      <c r="N56" s="309" t="s">
        <v>175</v>
      </c>
      <c r="O56" s="310">
        <f>[6]HFJ834_GUAL!D40</f>
        <v>90513.493699848128</v>
      </c>
      <c r="P56" s="300">
        <f>[6]HFJ834_GUAL!L26</f>
        <v>6480</v>
      </c>
      <c r="Q56" s="301">
        <f t="shared" si="28"/>
        <v>13.968131743803724</v>
      </c>
      <c r="R56" s="309" t="s">
        <v>175</v>
      </c>
      <c r="S56" s="310">
        <f>[7]HFJ834_GUAL!D57</f>
        <v>199129.98064450902</v>
      </c>
      <c r="T56" s="300">
        <f>[7]HFJ834_GUAL!L43</f>
        <v>12412</v>
      </c>
      <c r="U56" s="301">
        <f t="shared" si="20"/>
        <v>16.043343590437402</v>
      </c>
      <c r="V56" s="309" t="s">
        <v>175</v>
      </c>
      <c r="W56" s="310">
        <f>[8]HFJ834_GUAL!D58</f>
        <v>220756.27563289163</v>
      </c>
      <c r="X56" s="300">
        <f>[8]HFJ834_GUAL!L44</f>
        <v>11520</v>
      </c>
      <c r="Y56" s="301">
        <f t="shared" si="21"/>
        <v>19.162871148688509</v>
      </c>
      <c r="Z56" s="309" t="s">
        <v>175</v>
      </c>
      <c r="AA56" s="310">
        <f>[9]HFJ834_GUAL!D48</f>
        <v>120177.86045602204</v>
      </c>
      <c r="AB56" s="300">
        <f>[9]HFJ834_GUAL!L34</f>
        <v>8070</v>
      </c>
      <c r="AC56" s="301">
        <f t="shared" si="22"/>
        <v>14.891928185380674</v>
      </c>
      <c r="AD56" s="309" t="s">
        <v>175</v>
      </c>
      <c r="AE56" s="310">
        <f>[10]HFJ834_GUAL!D32</f>
        <v>68537.543795065518</v>
      </c>
      <c r="AF56" s="300">
        <f>[10]HFJ834_GUAL!L18</f>
        <v>3760</v>
      </c>
      <c r="AG56" s="301">
        <f t="shared" si="23"/>
        <v>18.228070158262106</v>
      </c>
      <c r="AH56" s="309"/>
      <c r="AI56" s="310"/>
      <c r="AJ56" s="300"/>
      <c r="AK56" s="301"/>
      <c r="AL56" s="309"/>
      <c r="AM56" s="310"/>
      <c r="AN56" s="300"/>
      <c r="AO56" s="301"/>
      <c r="AP56" s="309"/>
      <c r="AQ56" s="310"/>
      <c r="AR56" s="300"/>
      <c r="AS56" s="301" t="e">
        <f t="shared" si="26"/>
        <v>#DIV/0!</v>
      </c>
      <c r="AT56" s="309"/>
      <c r="AU56" s="310"/>
      <c r="AV56" s="300"/>
      <c r="AW56" s="301"/>
    </row>
    <row r="57" spans="1:49" ht="15.75" hidden="1" thickBot="1" x14ac:dyDescent="0.3">
      <c r="A57" s="302" t="s">
        <v>1113</v>
      </c>
      <c r="B57" s="309" t="s">
        <v>305</v>
      </c>
      <c r="C57" s="310">
        <f>[3]AA562JP_SCAMER!D32</f>
        <v>71629.929643993062</v>
      </c>
      <c r="D57" s="300">
        <f>[3]AA562JP_SCAMER!L18</f>
        <v>7717</v>
      </c>
      <c r="E57" s="301">
        <f t="shared" si="19"/>
        <v>9.2820953277171263</v>
      </c>
      <c r="F57" s="309" t="s">
        <v>305</v>
      </c>
      <c r="G57" s="310">
        <f>[4]AA562JP_SCAMER!D29</f>
        <v>104931.54779126264</v>
      </c>
      <c r="H57" s="300">
        <f>[4]AA562JP_SCAMER!L15</f>
        <v>6862</v>
      </c>
      <c r="I57" s="301">
        <f>G57/H57</f>
        <v>15.291685775468178</v>
      </c>
      <c r="J57" s="309" t="s">
        <v>305</v>
      </c>
      <c r="K57" s="310">
        <f>[5]AA562JP_SCAMER!D31</f>
        <v>114289.98481390611</v>
      </c>
      <c r="L57" s="300">
        <f>[5]AA562JP_SCAMER!L17</f>
        <v>8695</v>
      </c>
      <c r="M57" s="301">
        <f>K57/L57</f>
        <v>13.144334078655101</v>
      </c>
      <c r="N57" s="309" t="s">
        <v>1105</v>
      </c>
      <c r="O57" s="310">
        <f>[6]AA562JP_SCAMER!D30</f>
        <v>115640.9</v>
      </c>
      <c r="P57" s="300">
        <f>[6]AA562JP_SCAMER!L16</f>
        <v>6610</v>
      </c>
      <c r="Q57" s="301">
        <f t="shared" si="28"/>
        <v>17.49484114977307</v>
      </c>
      <c r="R57" s="309" t="s">
        <v>249</v>
      </c>
      <c r="S57" s="310">
        <f>[7]AA562JP_SCAMER!D30</f>
        <v>95788.309702549595</v>
      </c>
      <c r="T57" s="300">
        <f>[7]AA562JP_SCAMER!L16</f>
        <v>6113</v>
      </c>
      <c r="U57" s="301">
        <f t="shared" si="20"/>
        <v>15.669607345419532</v>
      </c>
      <c r="V57" s="309" t="s">
        <v>305</v>
      </c>
      <c r="W57" s="310">
        <f>[8]AA562JP_SCAMER!D34</f>
        <v>199738.2256027757</v>
      </c>
      <c r="X57" s="300">
        <f>[8]AA562JP_SCAMER!L20</f>
        <v>12209</v>
      </c>
      <c r="Y57" s="301">
        <f t="shared" si="21"/>
        <v>16.359916913979497</v>
      </c>
      <c r="Z57" s="309" t="s">
        <v>305</v>
      </c>
      <c r="AA57" s="310">
        <f>[9]AA562JP_SCAMER!D28</f>
        <v>91092.302094393075</v>
      </c>
      <c r="AB57" s="300">
        <f>[9]AA562JP_SCAMER!L14</f>
        <v>6202</v>
      </c>
      <c r="AC57" s="301">
        <f t="shared" si="22"/>
        <v>14.687568863978244</v>
      </c>
      <c r="AD57" s="309" t="s">
        <v>305</v>
      </c>
      <c r="AE57" s="310">
        <f>[10]AA562JP_SCAMER!D32</f>
        <v>102238.66199425397</v>
      </c>
      <c r="AF57" s="300">
        <f>[10]AA562JP_SCAMER!L18</f>
        <v>6050</v>
      </c>
      <c r="AG57" s="301">
        <f t="shared" si="23"/>
        <v>16.898952395744459</v>
      </c>
      <c r="AH57" s="309" t="s">
        <v>305</v>
      </c>
      <c r="AI57" s="310">
        <f>[11]AA562JP_SCAMER!D32</f>
        <v>154286.20749477565</v>
      </c>
      <c r="AJ57" s="300">
        <f>[11]AA562JP_SCAMER!L18</f>
        <v>8420</v>
      </c>
      <c r="AK57" s="301">
        <f>AI57/AJ57</f>
        <v>18.323777612206133</v>
      </c>
      <c r="AL57" s="309" t="s">
        <v>305</v>
      </c>
      <c r="AM57" s="310">
        <f>[1]AA562JP_SCAMER!D34</f>
        <v>225087.60161529743</v>
      </c>
      <c r="AN57" s="300">
        <f>[1]AA562JP_SCAMER!L20</f>
        <v>11761</v>
      </c>
      <c r="AO57" s="301">
        <f>AM57/AN57</f>
        <v>19.138474756848691</v>
      </c>
      <c r="AP57" s="309" t="s">
        <v>305</v>
      </c>
      <c r="AQ57" s="310">
        <f>[2]AA562JP_SCAMER!D29</f>
        <v>72656.802303865581</v>
      </c>
      <c r="AR57" s="300">
        <f>[2]AA562JP_SCAMER!L15</f>
        <v>5376</v>
      </c>
      <c r="AS57" s="301">
        <f t="shared" si="26"/>
        <v>13.515030190451187</v>
      </c>
      <c r="AT57" s="309"/>
      <c r="AU57" s="310"/>
      <c r="AV57" s="300"/>
      <c r="AW57" s="301"/>
    </row>
    <row r="58" spans="1:49" ht="15.75" hidden="1" thickBot="1" x14ac:dyDescent="0.3">
      <c r="A58" s="302" t="s">
        <v>1114</v>
      </c>
      <c r="B58" s="309"/>
      <c r="C58" s="310"/>
      <c r="D58" s="300"/>
      <c r="E58" s="301"/>
      <c r="F58" s="309"/>
      <c r="G58" s="310"/>
      <c r="H58" s="300"/>
      <c r="I58" s="301"/>
      <c r="J58" s="309"/>
      <c r="K58" s="310"/>
      <c r="L58" s="300"/>
      <c r="M58" s="301"/>
      <c r="N58" s="309"/>
      <c r="O58" s="310"/>
      <c r="P58" s="300"/>
      <c r="Q58" s="301"/>
      <c r="R58" s="309"/>
      <c r="S58" s="310"/>
      <c r="T58" s="300"/>
      <c r="U58" s="301"/>
      <c r="V58" s="309"/>
      <c r="W58" s="310"/>
      <c r="X58" s="300"/>
      <c r="Y58" s="301"/>
      <c r="Z58" s="309"/>
      <c r="AA58" s="310"/>
      <c r="AB58" s="300"/>
      <c r="AC58" s="301"/>
    </row>
    <row r="59" spans="1:49" ht="15.75" hidden="1" thickBot="1" x14ac:dyDescent="0.3">
      <c r="A59" s="311" t="s">
        <v>1115</v>
      </c>
      <c r="B59" s="309" t="s">
        <v>270</v>
      </c>
      <c r="C59" s="310">
        <f>[3]JMY346_SCAMER!D33</f>
        <v>106314.40380781914</v>
      </c>
      <c r="D59" s="300">
        <f>[3]JMY346_SCAMER!L19</f>
        <v>8498</v>
      </c>
      <c r="E59" s="301">
        <f t="shared" si="19"/>
        <v>12.510520570465891</v>
      </c>
      <c r="F59" s="309" t="s">
        <v>270</v>
      </c>
      <c r="G59" s="310">
        <f>[4]JMY346_SCAMER!D30</f>
        <v>80116.180503888725</v>
      </c>
      <c r="H59" s="300">
        <f>[4]JMY346_SCAMER!L16</f>
        <v>7216</v>
      </c>
      <c r="I59" s="301">
        <f>G59/H59</f>
        <v>11.102574903532251</v>
      </c>
      <c r="J59" s="309" t="s">
        <v>270</v>
      </c>
      <c r="K59" s="310">
        <f>[5]JMY346_SCAMER!D29</f>
        <v>104310.89174590612</v>
      </c>
      <c r="L59" s="300">
        <f>[5]JMY346_SCAMER!L15</f>
        <v>7508</v>
      </c>
      <c r="M59" s="301">
        <f>K59/L59</f>
        <v>13.89329938011536</v>
      </c>
      <c r="N59" s="309" t="s">
        <v>270</v>
      </c>
      <c r="O59" s="310">
        <f>[6]JMY346_SCAMER!D29</f>
        <v>63609.670466080017</v>
      </c>
      <c r="P59" s="300">
        <f>[6]JMY346_SCAMER!L15</f>
        <v>5561</v>
      </c>
      <c r="Q59" s="301">
        <f t="shared" si="28"/>
        <v>11.438530923589285</v>
      </c>
      <c r="R59" s="309"/>
      <c r="S59" s="310"/>
      <c r="T59" s="300"/>
      <c r="U59" s="301"/>
      <c r="V59" s="309"/>
      <c r="W59" s="310"/>
      <c r="X59" s="300"/>
      <c r="Y59" s="301"/>
      <c r="Z59" s="309"/>
      <c r="AA59" s="310"/>
      <c r="AB59" s="300"/>
      <c r="AC59" s="301"/>
    </row>
    <row r="60" spans="1:49" ht="15.75" hidden="1" thickBot="1" x14ac:dyDescent="0.3">
      <c r="A60" s="311" t="s">
        <v>1116</v>
      </c>
      <c r="B60" s="309" t="s">
        <v>204</v>
      </c>
      <c r="C60" s="310">
        <f>[3]KAF077_SCAMER!D35</f>
        <v>138050.42413129742</v>
      </c>
      <c r="D60" s="300">
        <f>[3]KAF077_SCAMER!L21</f>
        <v>10588</v>
      </c>
      <c r="E60" s="301">
        <f t="shared" si="19"/>
        <v>13.038385354297073</v>
      </c>
      <c r="F60" s="309" t="s">
        <v>1117</v>
      </c>
      <c r="G60" s="310">
        <f>[4]KAF077_SCAMER!D41</f>
        <v>146015.49814284523</v>
      </c>
      <c r="H60" s="300">
        <f>[4]KAF077_SCAMER!L27</f>
        <v>11686</v>
      </c>
      <c r="I60" s="301">
        <f>G60/H60</f>
        <v>12.494908278525179</v>
      </c>
      <c r="J60" s="309" t="s">
        <v>204</v>
      </c>
      <c r="K60" s="310">
        <f>[5]KAF077_SCAMER!D37</f>
        <v>132293.09882190611</v>
      </c>
      <c r="L60" s="300">
        <f>[5]KAF077_SCAMER!L23</f>
        <v>9473</v>
      </c>
      <c r="M60" s="301">
        <f>K60/L60</f>
        <v>13.965280145878403</v>
      </c>
      <c r="N60" s="309" t="s">
        <v>204</v>
      </c>
      <c r="O60" s="310">
        <f>[6]KAF077_SCAMER!D36</f>
        <v>148729.23480561626</v>
      </c>
      <c r="P60" s="300">
        <f>[6]KAF077_SCAMER!L22</f>
        <v>9308</v>
      </c>
      <c r="Q60" s="301">
        <f t="shared" si="28"/>
        <v>15.97864576768546</v>
      </c>
      <c r="R60" s="309" t="s">
        <v>151</v>
      </c>
      <c r="S60" s="310">
        <f>[7]KAF077_SCAMER!D22</f>
        <v>33774.638085123508</v>
      </c>
      <c r="T60" s="300">
        <f>[7]KAF077_SCAMER!L8</f>
        <v>2275</v>
      </c>
      <c r="U60" s="301">
        <f>S60/T60</f>
        <v>14.845994762691651</v>
      </c>
      <c r="V60" s="309"/>
      <c r="W60" s="310"/>
      <c r="X60" s="300"/>
      <c r="Y60" s="301"/>
      <c r="Z60" s="309"/>
      <c r="AA60" s="310"/>
      <c r="AB60" s="300"/>
      <c r="AC60" s="301"/>
    </row>
    <row r="61" spans="1:49" ht="15.75" thickBot="1" x14ac:dyDescent="0.3">
      <c r="A61" s="296" t="s">
        <v>1091</v>
      </c>
      <c r="B61" s="304"/>
      <c r="C61" s="305">
        <f>SUM(C46:C60)</f>
        <v>1264241.7403530763</v>
      </c>
      <c r="D61" s="556">
        <f>SUM(D46:D60)</f>
        <v>101941</v>
      </c>
      <c r="E61" s="550">
        <f t="shared" si="19"/>
        <v>12.401700398790243</v>
      </c>
      <c r="F61" s="304"/>
      <c r="G61" s="305">
        <f>SUM(G46:G60)</f>
        <v>1292649.4086484155</v>
      </c>
      <c r="H61" s="556">
        <f>SUM(H46:H60)</f>
        <v>94188</v>
      </c>
      <c r="I61" s="550">
        <f>G61/H61</f>
        <v>13.72414117136382</v>
      </c>
      <c r="J61" s="304"/>
      <c r="K61" s="305">
        <f>SUM(K46:K60)</f>
        <v>1462429.7313462065</v>
      </c>
      <c r="L61" s="556">
        <f>SUM(L46:L60)</f>
        <v>102110</v>
      </c>
      <c r="M61" s="550">
        <f>K61/L61</f>
        <v>14.322100982726536</v>
      </c>
      <c r="N61" s="304"/>
      <c r="O61" s="305">
        <f>SUM(O46:O60)</f>
        <v>1333733.5957972326</v>
      </c>
      <c r="P61" s="556">
        <f>SUM(P46:P60)</f>
        <v>105666.00003</v>
      </c>
      <c r="Q61" s="550">
        <f t="shared" si="28"/>
        <v>12.622164134334296</v>
      </c>
      <c r="R61" s="304"/>
      <c r="S61" s="305">
        <f>SUM(S46:S60)</f>
        <v>1382367.1457998662</v>
      </c>
      <c r="T61" s="556">
        <f>SUM(T46:T60)</f>
        <v>106195</v>
      </c>
      <c r="U61" s="550">
        <f>S61/T61</f>
        <v>13.017252655961826</v>
      </c>
      <c r="V61" s="304"/>
      <c r="W61" s="305">
        <f>SUM(W46:W60)</f>
        <v>1860816.3194930032</v>
      </c>
      <c r="X61" s="556">
        <f>SUM(X46:X60)</f>
        <v>107490</v>
      </c>
      <c r="Y61" s="550">
        <f>W61/X61</f>
        <v>17.31152962594663</v>
      </c>
      <c r="Z61" s="304"/>
      <c r="AA61" s="305">
        <f>SUM(AA46:AA60)</f>
        <v>1355481.6353658901</v>
      </c>
      <c r="AB61" s="556">
        <f>SUM(AB46:AB60)</f>
        <v>81724</v>
      </c>
      <c r="AC61" s="550">
        <f>AA61/AB61</f>
        <v>16.586090198300255</v>
      </c>
      <c r="AD61" s="304"/>
      <c r="AE61" s="305">
        <f>SUM(AE46:AE60)</f>
        <v>1423987.4401018727</v>
      </c>
      <c r="AF61" s="556">
        <f>SUM(AF46:AF60)</f>
        <v>84420</v>
      </c>
      <c r="AG61" s="550">
        <f>AE61/AF61</f>
        <v>16.867891969934526</v>
      </c>
      <c r="AH61" s="304"/>
      <c r="AI61" s="305">
        <f>SUM(AI46:AI60)</f>
        <v>1398920.2991956766</v>
      </c>
      <c r="AJ61" s="556">
        <f>SUM(AJ46:AJ60)</f>
        <v>77502</v>
      </c>
      <c r="AK61" s="550">
        <f>AI61/AJ61</f>
        <v>18.050118696235923</v>
      </c>
      <c r="AL61" s="304"/>
      <c r="AM61" s="305">
        <f>SUM(AM46:AM60)</f>
        <v>1842536.9721736768</v>
      </c>
      <c r="AN61" s="556">
        <f>SUM(AN46:AN60)</f>
        <v>97040</v>
      </c>
      <c r="AO61" s="550">
        <f>AM61/AN61</f>
        <v>18.987396662960396</v>
      </c>
      <c r="AP61" s="304"/>
      <c r="AQ61" s="305">
        <f>SUM(AQ46:AQ60)</f>
        <v>2011910.3423552457</v>
      </c>
      <c r="AR61" s="556">
        <f>SUM(AR46:AR60)</f>
        <v>100087</v>
      </c>
      <c r="AS61" s="550">
        <f>AQ61/AR61</f>
        <v>20.101615018486374</v>
      </c>
      <c r="AT61" s="304"/>
      <c r="AU61" s="305">
        <f>SUM(AU46:AU60)</f>
        <v>1355638.2015410322</v>
      </c>
      <c r="AV61" s="556">
        <f>SUM(AV46:AV60)</f>
        <v>69170</v>
      </c>
      <c r="AW61" s="550">
        <f>AU61/AV61</f>
        <v>19.598643943053812</v>
      </c>
    </row>
    <row r="62" spans="1:49" ht="15.75" thickBot="1" x14ac:dyDescent="0.3">
      <c r="A62" s="294" t="s">
        <v>1096</v>
      </c>
      <c r="B62" s="306"/>
      <c r="C62" s="307">
        <v>-713825.53</v>
      </c>
      <c r="D62" s="557"/>
      <c r="E62" s="551"/>
      <c r="F62" s="306"/>
      <c r="G62" s="307">
        <f>G61-C61</f>
        <v>28407.668295339216</v>
      </c>
      <c r="H62" s="557"/>
      <c r="I62" s="551"/>
      <c r="J62" s="306"/>
      <c r="K62" s="307">
        <f>K61-G61</f>
        <v>169780.32269779104</v>
      </c>
      <c r="L62" s="557"/>
      <c r="M62" s="551"/>
      <c r="N62" s="306"/>
      <c r="O62" s="307">
        <f>O61-K61</f>
        <v>-128696.13554897392</v>
      </c>
      <c r="P62" s="557"/>
      <c r="Q62" s="551"/>
      <c r="R62" s="306"/>
      <c r="S62" s="307">
        <f>S61-O61</f>
        <v>48633.550002633594</v>
      </c>
      <c r="T62" s="557"/>
      <c r="U62" s="551"/>
      <c r="V62" s="306"/>
      <c r="W62" s="307">
        <f>W61-S61</f>
        <v>478449.17369313701</v>
      </c>
      <c r="X62" s="557"/>
      <c r="Y62" s="551"/>
      <c r="Z62" s="306"/>
      <c r="AA62" s="307">
        <f>AA61-W61</f>
        <v>-505334.68412711308</v>
      </c>
      <c r="AB62" s="557"/>
      <c r="AC62" s="551"/>
      <c r="AD62" s="306"/>
      <c r="AE62" s="307">
        <f>AE61-AA61</f>
        <v>68505.804735982558</v>
      </c>
      <c r="AF62" s="557"/>
      <c r="AG62" s="551"/>
      <c r="AH62" s="306"/>
      <c r="AI62" s="307">
        <f>AI61-AE61</f>
        <v>-25067.140906196088</v>
      </c>
      <c r="AJ62" s="557"/>
      <c r="AK62" s="551"/>
      <c r="AL62" s="306"/>
      <c r="AM62" s="307">
        <f>AM61-AI61</f>
        <v>443616.67297800025</v>
      </c>
      <c r="AN62" s="557"/>
      <c r="AO62" s="551"/>
      <c r="AP62" s="306"/>
      <c r="AQ62" s="307">
        <f>AQ61-AM61</f>
        <v>169373.3701815689</v>
      </c>
      <c r="AR62" s="557"/>
      <c r="AS62" s="551"/>
      <c r="AT62" s="306"/>
      <c r="AU62" s="307">
        <f>AU61-AQ61</f>
        <v>-656272.14081421355</v>
      </c>
      <c r="AV62" s="557"/>
      <c r="AW62" s="551"/>
    </row>
    <row r="63" spans="1:49" ht="15.75" thickBot="1" x14ac:dyDescent="0.3"/>
    <row r="64" spans="1:49" ht="15.75" thickBot="1" x14ac:dyDescent="0.3">
      <c r="A64" s="494" t="s">
        <v>1118</v>
      </c>
      <c r="B64" s="496">
        <v>44136</v>
      </c>
      <c r="C64" s="497"/>
      <c r="D64" s="497"/>
      <c r="E64" s="498"/>
      <c r="F64" s="496">
        <v>44166</v>
      </c>
      <c r="G64" s="497"/>
      <c r="H64" s="497"/>
      <c r="I64" s="498"/>
      <c r="J64" s="496">
        <v>44197</v>
      </c>
      <c r="K64" s="497"/>
      <c r="L64" s="497"/>
      <c r="M64" s="498"/>
      <c r="N64" s="496">
        <v>44228</v>
      </c>
      <c r="O64" s="497"/>
      <c r="P64" s="497"/>
      <c r="Q64" s="498"/>
      <c r="R64" s="496">
        <v>44256</v>
      </c>
      <c r="S64" s="497"/>
      <c r="T64" s="497"/>
      <c r="U64" s="498"/>
      <c r="V64" s="496">
        <v>44287</v>
      </c>
      <c r="W64" s="497"/>
      <c r="X64" s="497"/>
      <c r="Y64" s="498"/>
      <c r="Z64" s="496">
        <v>44317</v>
      </c>
      <c r="AA64" s="497"/>
      <c r="AB64" s="497"/>
      <c r="AC64" s="498"/>
      <c r="AD64" s="496">
        <v>44348</v>
      </c>
      <c r="AE64" s="497"/>
      <c r="AF64" s="497"/>
      <c r="AG64" s="498"/>
      <c r="AH64" s="496">
        <v>44378</v>
      </c>
      <c r="AI64" s="497"/>
      <c r="AJ64" s="497"/>
      <c r="AK64" s="498"/>
      <c r="AL64" s="496">
        <v>44409</v>
      </c>
      <c r="AM64" s="497"/>
      <c r="AN64" s="497"/>
      <c r="AO64" s="498"/>
      <c r="AP64" s="496">
        <v>44440</v>
      </c>
      <c r="AQ64" s="497"/>
      <c r="AR64" s="497"/>
      <c r="AS64" s="498"/>
      <c r="AT64" s="496">
        <v>44470</v>
      </c>
      <c r="AU64" s="497"/>
      <c r="AV64" s="497"/>
      <c r="AW64" s="498"/>
    </row>
    <row r="65" spans="1:49" ht="15.75" thickBot="1" x14ac:dyDescent="0.3">
      <c r="A65" s="495"/>
      <c r="B65" s="298" t="s">
        <v>1101</v>
      </c>
      <c r="C65" s="298" t="s">
        <v>1102</v>
      </c>
      <c r="D65" s="298" t="s">
        <v>706</v>
      </c>
      <c r="E65" s="298" t="s">
        <v>1103</v>
      </c>
      <c r="F65" s="298" t="s">
        <v>1101</v>
      </c>
      <c r="G65" s="298" t="s">
        <v>1102</v>
      </c>
      <c r="H65" s="298" t="s">
        <v>706</v>
      </c>
      <c r="I65" s="298" t="s">
        <v>1103</v>
      </c>
      <c r="J65" s="298" t="s">
        <v>1101</v>
      </c>
      <c r="K65" s="298" t="s">
        <v>1102</v>
      </c>
      <c r="L65" s="298" t="s">
        <v>706</v>
      </c>
      <c r="M65" s="298" t="s">
        <v>1103</v>
      </c>
      <c r="N65" s="298" t="s">
        <v>1101</v>
      </c>
      <c r="O65" s="298" t="s">
        <v>1102</v>
      </c>
      <c r="P65" s="298" t="s">
        <v>706</v>
      </c>
      <c r="Q65" s="298" t="s">
        <v>1103</v>
      </c>
      <c r="R65" s="298" t="s">
        <v>1101</v>
      </c>
      <c r="S65" s="298" t="s">
        <v>1102</v>
      </c>
      <c r="T65" s="298" t="s">
        <v>706</v>
      </c>
      <c r="U65" s="298" t="s">
        <v>1103</v>
      </c>
      <c r="V65" s="298" t="s">
        <v>1101</v>
      </c>
      <c r="W65" s="298" t="s">
        <v>1102</v>
      </c>
      <c r="X65" s="298" t="s">
        <v>706</v>
      </c>
      <c r="Y65" s="298" t="s">
        <v>1103</v>
      </c>
      <c r="Z65" s="298" t="s">
        <v>1101</v>
      </c>
      <c r="AA65" s="298" t="s">
        <v>1102</v>
      </c>
      <c r="AB65" s="298" t="s">
        <v>706</v>
      </c>
      <c r="AC65" s="298" t="s">
        <v>1103</v>
      </c>
      <c r="AD65" s="298" t="s">
        <v>1101</v>
      </c>
      <c r="AE65" s="298" t="s">
        <v>1102</v>
      </c>
      <c r="AF65" s="298" t="s">
        <v>706</v>
      </c>
      <c r="AG65" s="298" t="s">
        <v>1103</v>
      </c>
      <c r="AH65" s="298" t="s">
        <v>1101</v>
      </c>
      <c r="AI65" s="298" t="s">
        <v>1102</v>
      </c>
      <c r="AJ65" s="298" t="s">
        <v>706</v>
      </c>
      <c r="AK65" s="298" t="s">
        <v>1103</v>
      </c>
      <c r="AL65" s="298" t="s">
        <v>1101</v>
      </c>
      <c r="AM65" s="298" t="s">
        <v>1102</v>
      </c>
      <c r="AN65" s="298" t="s">
        <v>706</v>
      </c>
      <c r="AO65" s="298" t="s">
        <v>1103</v>
      </c>
      <c r="AP65" s="298" t="s">
        <v>1101</v>
      </c>
      <c r="AQ65" s="298" t="s">
        <v>1102</v>
      </c>
      <c r="AR65" s="298" t="s">
        <v>706</v>
      </c>
      <c r="AS65" s="298" t="s">
        <v>1103</v>
      </c>
      <c r="AT65" s="298" t="s">
        <v>1101</v>
      </c>
      <c r="AU65" s="298" t="s">
        <v>1102</v>
      </c>
      <c r="AV65" s="298" t="s">
        <v>706</v>
      </c>
      <c r="AW65" s="298" t="s">
        <v>1103</v>
      </c>
    </row>
    <row r="66" spans="1:49" x14ac:dyDescent="0.25">
      <c r="A66" s="308" t="s">
        <v>369</v>
      </c>
      <c r="B66" s="309" t="s">
        <v>265</v>
      </c>
      <c r="C66" s="310">
        <f>[3]KOE220_BALDASSARRE!D36</f>
        <v>100660.41206068872</v>
      </c>
      <c r="D66" s="300">
        <f>[3]KOE220_BALDASSARRE!L22</f>
        <v>12344</v>
      </c>
      <c r="E66" s="301">
        <f t="shared" ref="E66:E72" si="29">C66/D66</f>
        <v>8.1546024028425723</v>
      </c>
      <c r="F66" s="309" t="s">
        <v>265</v>
      </c>
      <c r="G66" s="310">
        <f>[4]KOE220_BALDASSARRE!D38</f>
        <v>191858.99900341919</v>
      </c>
      <c r="H66" s="300">
        <f>[4]KOE220_BALDASSARRE!L24</f>
        <v>12758</v>
      </c>
      <c r="I66" s="301">
        <f t="shared" ref="I66:I87" si="30">G66/H66</f>
        <v>15.038328813561623</v>
      </c>
      <c r="J66" s="309" t="s">
        <v>265</v>
      </c>
      <c r="K66" s="310">
        <f>[5]KOE220_BALDASSARRE!D39</f>
        <v>255553.13355390611</v>
      </c>
      <c r="L66" s="300">
        <f>[5]KOE220_BALDASSARRE!L25</f>
        <v>15728</v>
      </c>
      <c r="M66" s="301">
        <f t="shared" ref="M66:M72" si="31">K66/L66</f>
        <v>16.248291807852627</v>
      </c>
      <c r="N66" s="309" t="s">
        <v>265</v>
      </c>
      <c r="O66" s="310">
        <f>[6]KOE220_BALDASSARRE!D34</f>
        <v>151089.16185408004</v>
      </c>
      <c r="P66" s="300">
        <f>[6]KOE220_BALDASSARRE!L20</f>
        <v>9816</v>
      </c>
      <c r="Q66" s="301">
        <f t="shared" ref="Q66:Q72" si="32">O66/P66</f>
        <v>15.392131403227388</v>
      </c>
      <c r="R66" s="309" t="s">
        <v>265</v>
      </c>
      <c r="S66" s="310">
        <f>[7]KOE220_BALDASSARRE!D38</f>
        <v>213800.52029738441</v>
      </c>
      <c r="T66" s="300">
        <f>[7]KOE220_BALDASSARRE!L24</f>
        <v>14550</v>
      </c>
      <c r="U66" s="301">
        <f t="shared" ref="U66:U87" si="33">S66/T66</f>
        <v>14.694193834871781</v>
      </c>
      <c r="V66" s="309" t="s">
        <v>265</v>
      </c>
      <c r="W66" s="310">
        <f>[8]KOE220_BALDASSARRE!D33</f>
        <v>164592.43570077571</v>
      </c>
      <c r="X66" s="300">
        <f>[8]KOE220_BALDASSARRE!L19</f>
        <v>7264</v>
      </c>
      <c r="Y66" s="301">
        <f t="shared" ref="Y66:Y87" si="34">W66/X66</f>
        <v>22.658650289203702</v>
      </c>
      <c r="Z66" s="309" t="s">
        <v>265</v>
      </c>
      <c r="AA66" s="310">
        <f>[9]KOE220_BALDASSARRE!D30</f>
        <v>158660.26135354093</v>
      </c>
      <c r="AB66" s="300">
        <f>[9]KOE220_BALDASSARRE!L16</f>
        <v>9436</v>
      </c>
      <c r="AC66" s="301">
        <f t="shared" ref="AC66:AC87" si="35">AA66/AB66</f>
        <v>16.814355802621971</v>
      </c>
      <c r="AD66" s="309" t="s">
        <v>265</v>
      </c>
      <c r="AE66" s="310">
        <f>[10]KOE220_BALDASSARRE!D29</f>
        <v>141160.4282437322</v>
      </c>
      <c r="AF66" s="300">
        <f>[10]KOE220_BALDASSARRE!L15</f>
        <v>8038</v>
      </c>
      <c r="AG66" s="301">
        <f t="shared" ref="AG66:AG87" si="36">AE66/AF66</f>
        <v>17.561635760603657</v>
      </c>
      <c r="AH66" s="309" t="s">
        <v>265</v>
      </c>
      <c r="AI66" s="310">
        <f>[11]KOE220_BALDASSARRE!D26</f>
        <v>100598.17693860175</v>
      </c>
      <c r="AJ66" s="300">
        <f>[11]KOE220_BALDASSARRE!L12</f>
        <v>5126</v>
      </c>
      <c r="AK66" s="301">
        <f t="shared" ref="AK66:AK87" si="37">AI66/AJ66</f>
        <v>19.625083288841545</v>
      </c>
      <c r="AL66" s="309" t="s">
        <v>265</v>
      </c>
      <c r="AM66" s="310">
        <f>[1]KOE220_BALDASSARRE!D38</f>
        <v>241595.04064599308</v>
      </c>
      <c r="AN66" s="300">
        <f>[1]KOE220_BALDASSARRE!L24</f>
        <v>11236</v>
      </c>
      <c r="AO66" s="301">
        <f t="shared" ref="AO66:AO87" si="38">AM66/AN66</f>
        <v>21.501872610002945</v>
      </c>
      <c r="AP66" s="309" t="s">
        <v>265</v>
      </c>
      <c r="AQ66" s="310">
        <f>[2]KOE220_BALDASSARRE!D37</f>
        <v>228068.16905803949</v>
      </c>
      <c r="AR66" s="300">
        <f>[2]KOE220_BALDASSARRE!L23</f>
        <v>10470</v>
      </c>
      <c r="AS66" s="301">
        <f t="shared" ref="AS66:AS87" si="39">AQ66/AR66</f>
        <v>21.783015191789829</v>
      </c>
      <c r="AT66" s="309" t="s">
        <v>265</v>
      </c>
      <c r="AU66" s="310">
        <f>KOE220_BALDASSARRE!D39</f>
        <v>293000.54068301339</v>
      </c>
      <c r="AV66" s="300">
        <f>KOE220_BALDASSARRE!L25</f>
        <v>13176</v>
      </c>
      <c r="AW66" s="301">
        <f t="shared" ref="AW66:AW86" si="40">AU66/AV66</f>
        <v>22.237442371206239</v>
      </c>
    </row>
    <row r="67" spans="1:49" x14ac:dyDescent="0.25">
      <c r="A67" s="302" t="s">
        <v>370</v>
      </c>
      <c r="B67" s="309" t="s">
        <v>274</v>
      </c>
      <c r="C67" s="310">
        <f>[3]KSL959_BALDASSARRE!D34</f>
        <v>160538.38776344236</v>
      </c>
      <c r="D67" s="300">
        <f>[3]KSL959_BALDASSARRE!L20</f>
        <v>11574</v>
      </c>
      <c r="E67" s="301">
        <f t="shared" si="29"/>
        <v>13.870605474636458</v>
      </c>
      <c r="F67" s="309" t="s">
        <v>274</v>
      </c>
      <c r="G67" s="310">
        <f>[4]KSL959_BALDASSARRE!D37</f>
        <v>199226.91194944241</v>
      </c>
      <c r="H67" s="300">
        <f>[4]KSL959_BALDASSARRE!L23</f>
        <v>13640</v>
      </c>
      <c r="I67" s="301">
        <f t="shared" si="30"/>
        <v>14.606078588668799</v>
      </c>
      <c r="J67" s="309" t="s">
        <v>274</v>
      </c>
      <c r="K67" s="310">
        <f>[5]KSL959_BALDASSARRE!D34</f>
        <v>144666.70077390614</v>
      </c>
      <c r="L67" s="300">
        <f>[5]KSL959_BALDASSARRE!L20</f>
        <v>8952</v>
      </c>
      <c r="M67" s="301">
        <f t="shared" si="31"/>
        <v>16.160265948827764</v>
      </c>
      <c r="N67" s="309" t="s">
        <v>274</v>
      </c>
      <c r="O67" s="310">
        <f>[6]KSL959_BALDASSARRE!D38</f>
        <v>172121.4598263409</v>
      </c>
      <c r="P67" s="300">
        <f>[6]KSL959_BALDASSARRE!L24</f>
        <v>10924</v>
      </c>
      <c r="Q67" s="301">
        <f t="shared" si="32"/>
        <v>15.756266919291551</v>
      </c>
      <c r="R67" s="309" t="s">
        <v>274</v>
      </c>
      <c r="S67" s="310">
        <f>[7]KSL959_BALDASSARRE!D35</f>
        <v>155027.08085322785</v>
      </c>
      <c r="T67" s="300">
        <f>[7]KSL959_BALDASSARRE!L21</f>
        <v>10474</v>
      </c>
      <c r="U67" s="301">
        <f t="shared" si="33"/>
        <v>14.801134318620187</v>
      </c>
      <c r="V67" s="309" t="s">
        <v>274</v>
      </c>
      <c r="W67" s="310">
        <f>[8]KSL959_BALDASSARRE!D33</f>
        <v>171513.72663121048</v>
      </c>
      <c r="X67" s="300">
        <f>[8]KSL959_BALDASSARRE!L19</f>
        <v>9424</v>
      </c>
      <c r="Y67" s="301">
        <f t="shared" si="34"/>
        <v>18.199673878524031</v>
      </c>
      <c r="Z67" s="309" t="s">
        <v>274</v>
      </c>
      <c r="AA67" s="310">
        <f>[9]KSL959_BALDASSARRE!D34</f>
        <v>211838.77464928007</v>
      </c>
      <c r="AB67" s="300">
        <f>[9]KSL959_BALDASSARRE!L20</f>
        <v>10656</v>
      </c>
      <c r="AC67" s="301">
        <f t="shared" si="35"/>
        <v>19.879764888258265</v>
      </c>
      <c r="AD67" s="309" t="s">
        <v>274</v>
      </c>
      <c r="AE67" s="310">
        <f>[10]KSL959_BALDASSARRE!D33</f>
        <v>189333.92280764523</v>
      </c>
      <c r="AF67" s="300">
        <f>[10]KSL959_BALDASSARRE!L19</f>
        <v>8998</v>
      </c>
      <c r="AG67" s="301">
        <f t="shared" si="36"/>
        <v>21.041778484957238</v>
      </c>
      <c r="AH67" s="309" t="s">
        <v>274</v>
      </c>
      <c r="AI67" s="310">
        <f>[11]KSL959_BALDASSARRE!D31</f>
        <v>164272.49162321046</v>
      </c>
      <c r="AJ67" s="300">
        <f>[11]KSL959_BALDASSARRE!L17</f>
        <v>8858</v>
      </c>
      <c r="AK67" s="301">
        <f t="shared" si="37"/>
        <v>18.545099528472619</v>
      </c>
      <c r="AL67" s="309" t="s">
        <v>274</v>
      </c>
      <c r="AM67" s="310">
        <f>[1]KSL959_BALDASSARRE!D38</f>
        <v>83564.992714775668</v>
      </c>
      <c r="AN67" s="300">
        <f>[1]KSL959_BALDASSARRE!L24</f>
        <v>12310</v>
      </c>
      <c r="AO67" s="301">
        <f t="shared" si="38"/>
        <v>6.7883828362937182</v>
      </c>
      <c r="AP67" s="309" t="s">
        <v>274</v>
      </c>
      <c r="AQ67" s="310">
        <f>[2]KSL959_BALDASSARRE!D35</f>
        <v>231220.33260343081</v>
      </c>
      <c r="AR67" s="300">
        <f>[2]KSL959_BALDASSARRE!L21</f>
        <v>11869</v>
      </c>
      <c r="AS67" s="301">
        <f t="shared" si="39"/>
        <v>19.481028949652945</v>
      </c>
      <c r="AT67" s="309" t="s">
        <v>274</v>
      </c>
      <c r="AU67" s="310">
        <f>KSL959_BALDASSARRE!D38</f>
        <v>241496.31261396996</v>
      </c>
      <c r="AV67" s="300">
        <f>KSL959_BALDASSARRE!L24</f>
        <v>11656</v>
      </c>
      <c r="AW67" s="301">
        <f t="shared" si="40"/>
        <v>20.718626682735927</v>
      </c>
    </row>
    <row r="68" spans="1:49" x14ac:dyDescent="0.25">
      <c r="A68" s="302" t="s">
        <v>1119</v>
      </c>
      <c r="B68" s="309" t="s">
        <v>55</v>
      </c>
      <c r="C68" s="310">
        <f>[3]AA996WC_CASTILLO!D37</f>
        <v>113022.11658755827</v>
      </c>
      <c r="D68" s="300">
        <f>[3]AA996WC_CASTILLO!L23</f>
        <v>12786</v>
      </c>
      <c r="E68" s="301">
        <f t="shared" si="29"/>
        <v>8.8395210845892596</v>
      </c>
      <c r="F68" s="309" t="s">
        <v>55</v>
      </c>
      <c r="G68" s="310">
        <f>[4]AA996WC_CASTILLO!D36</f>
        <v>232393.45508783657</v>
      </c>
      <c r="H68" s="300">
        <f>[4]AA996WC_CASTILLO!L22</f>
        <v>15064</v>
      </c>
      <c r="I68" s="301">
        <f t="shared" si="30"/>
        <v>15.427074819957287</v>
      </c>
      <c r="J68" s="309" t="s">
        <v>55</v>
      </c>
      <c r="K68" s="310">
        <f>[5]AA996WC_CASTILLO!D35</f>
        <v>154353.32314390611</v>
      </c>
      <c r="L68" s="300">
        <f>[5]AA996WC_CASTILLO!L21</f>
        <v>11532</v>
      </c>
      <c r="M68" s="301">
        <f t="shared" si="31"/>
        <v>13.384783484556548</v>
      </c>
      <c r="N68" s="309" t="s">
        <v>55</v>
      </c>
      <c r="O68" s="310">
        <f>[6]AA996WC_CASTILLO!D36</f>
        <v>214893.71837492063</v>
      </c>
      <c r="P68" s="300">
        <f>[6]AA996WC_CASTILLO!L22</f>
        <v>13330</v>
      </c>
      <c r="Q68" s="301">
        <f t="shared" si="32"/>
        <v>16.121059142904773</v>
      </c>
      <c r="R68" s="309" t="s">
        <v>55</v>
      </c>
      <c r="S68" s="310">
        <f>[7]AA996WC_CASTILLO!D39</f>
        <v>230105.19603634669</v>
      </c>
      <c r="T68" s="300">
        <f>[7]AA996WC_CASTILLO!L25</f>
        <v>14838</v>
      </c>
      <c r="U68" s="301">
        <f t="shared" si="33"/>
        <v>15.507830976974438</v>
      </c>
      <c r="V68" s="309" t="s">
        <v>55</v>
      </c>
      <c r="W68" s="310">
        <f>[8]AA996WC_CASTILLO!D32</f>
        <v>156523.030090138</v>
      </c>
      <c r="X68" s="300">
        <f>[8]AA996WC_CASTILLO!L18</f>
        <v>8880</v>
      </c>
      <c r="Y68" s="301">
        <f t="shared" si="34"/>
        <v>17.626467352493016</v>
      </c>
      <c r="Z68" s="309" t="s">
        <v>55</v>
      </c>
      <c r="AA68" s="310">
        <f>[9]AA996WC_CASTILLO!D31</f>
        <v>200941.76351827712</v>
      </c>
      <c r="AB68" s="300">
        <f>[9]AA996WC_CASTILLO!L17</f>
        <v>9862</v>
      </c>
      <c r="AC68" s="301">
        <f t="shared" si="35"/>
        <v>20.375356268330677</v>
      </c>
      <c r="AD68" s="309" t="s">
        <v>55</v>
      </c>
      <c r="AE68" s="310">
        <f>[10]AA996WC_CASTILLO!D33</f>
        <v>190728.12577387711</v>
      </c>
      <c r="AF68" s="300">
        <f>[10]AA996WC_CASTILLO!L19</f>
        <v>10578</v>
      </c>
      <c r="AG68" s="301">
        <f t="shared" si="36"/>
        <v>18.030641498759415</v>
      </c>
      <c r="AH68" s="309" t="s">
        <v>55</v>
      </c>
      <c r="AI68" s="310">
        <f>[11]AA996WC_CASTILLO!D36</f>
        <v>235416.90912039889</v>
      </c>
      <c r="AJ68" s="300">
        <f>[11]AA996WC_CASTILLO!L22</f>
        <v>11472</v>
      </c>
      <c r="AK68" s="301">
        <f t="shared" si="37"/>
        <v>20.520999748988746</v>
      </c>
      <c r="AL68" s="309" t="s">
        <v>55</v>
      </c>
      <c r="AM68" s="310">
        <f>[1]AA996WC_CASTILLO!D26</f>
        <v>90286.311062485809</v>
      </c>
      <c r="AN68" s="300">
        <f>[1]AA996WC_CASTILLO!L12</f>
        <v>6198</v>
      </c>
      <c r="AO68" s="301">
        <f t="shared" si="38"/>
        <v>14.56700727048819</v>
      </c>
      <c r="AP68" s="309" t="s">
        <v>55</v>
      </c>
      <c r="AQ68" s="310">
        <f>[2]AA996WC_CASTILLO!D33</f>
        <v>224455.01985644532</v>
      </c>
      <c r="AR68" s="300">
        <f>[2]AA996WC_CASTILLO!L19</f>
        <v>9660</v>
      </c>
      <c r="AS68" s="301">
        <f t="shared" si="39"/>
        <v>23.235509301909453</v>
      </c>
      <c r="AT68" s="309" t="s">
        <v>55</v>
      </c>
      <c r="AU68" s="310">
        <f>AA996WC_CASTILLO!D38</f>
        <v>289341.29558496707</v>
      </c>
      <c r="AV68" s="300">
        <f>AA996WC_CASTILLO!L24</f>
        <v>13640</v>
      </c>
      <c r="AW68" s="301">
        <f t="shared" si="40"/>
        <v>21.212704954909608</v>
      </c>
    </row>
    <row r="69" spans="1:49" x14ac:dyDescent="0.25">
      <c r="A69" s="302" t="s">
        <v>372</v>
      </c>
      <c r="B69" s="309"/>
      <c r="C69" s="310"/>
      <c r="D69" s="300"/>
      <c r="E69" s="301"/>
      <c r="F69" s="309" t="s">
        <v>155</v>
      </c>
      <c r="G69" s="310">
        <f>[4]AD864HO_FERREYRA!D30</f>
        <v>132665.07951965107</v>
      </c>
      <c r="H69" s="300">
        <f>[4]AD864HO_FERREYRA!L16</f>
        <v>9158</v>
      </c>
      <c r="I69" s="301">
        <f t="shared" si="30"/>
        <v>14.486250220534076</v>
      </c>
      <c r="J69" s="309" t="s">
        <v>155</v>
      </c>
      <c r="K69" s="310">
        <f>[5]AD864HO_FERREYRA!D38</f>
        <v>205934.89210723949</v>
      </c>
      <c r="L69" s="300">
        <f>[5]AD864HO_FERREYRA!L24</f>
        <v>13084</v>
      </c>
      <c r="M69" s="301">
        <f t="shared" si="31"/>
        <v>15.739444520577766</v>
      </c>
      <c r="N69" s="309" t="s">
        <v>155</v>
      </c>
      <c r="O69" s="310">
        <f>[6]AD864HO_FERREYRA!D38</f>
        <v>194520.06196831193</v>
      </c>
      <c r="P69" s="300">
        <f>[6]AD864HO_FERREYRA!L24</f>
        <v>12462</v>
      </c>
      <c r="Q69" s="301">
        <f t="shared" si="32"/>
        <v>15.609056489192099</v>
      </c>
      <c r="R69" s="309" t="s">
        <v>155</v>
      </c>
      <c r="S69" s="310">
        <f>[7]AD864HO_FERRREYRA!D30</f>
        <v>122420.23852657278</v>
      </c>
      <c r="T69" s="300">
        <f>[7]AD864HO_FERRREYRA!L16</f>
        <v>8280</v>
      </c>
      <c r="U69" s="301">
        <f t="shared" si="33"/>
        <v>14.785052962146471</v>
      </c>
      <c r="V69" s="309" t="s">
        <v>155</v>
      </c>
      <c r="W69" s="310">
        <f>[8]AD864HO_FERREYRA!D35</f>
        <v>93173.181874572794</v>
      </c>
      <c r="X69" s="300">
        <f>[8]AD864HO_FERREYRA!L21</f>
        <v>9936</v>
      </c>
      <c r="Y69" s="301">
        <f t="shared" si="34"/>
        <v>9.3773331194215768</v>
      </c>
      <c r="Z69" s="309" t="s">
        <v>155</v>
      </c>
      <c r="AA69" s="310">
        <f>[9]AD864HO_FERREYRA!D29</f>
        <v>123278.61619013798</v>
      </c>
      <c r="AB69" s="300">
        <f>[9]AD864HO_FERREYRA!L15</f>
        <v>7400</v>
      </c>
      <c r="AC69" s="301">
        <f t="shared" si="35"/>
        <v>16.659272458126754</v>
      </c>
      <c r="AD69" s="309" t="s">
        <v>155</v>
      </c>
      <c r="AE69" s="310">
        <f>[10]AD864HO_FERREYRA!D33</f>
        <v>199857.51560144234</v>
      </c>
      <c r="AF69" s="300">
        <f>[10]AD864HO_FERREYRA!L19</f>
        <v>11100</v>
      </c>
      <c r="AG69" s="301">
        <f t="shared" si="36"/>
        <v>18.005181585715526</v>
      </c>
      <c r="AH69" s="309" t="s">
        <v>155</v>
      </c>
      <c r="AI69" s="310">
        <f>[11]AD864HO_FERREYRA!D34</f>
        <v>230556.04636405103</v>
      </c>
      <c r="AJ69" s="300">
        <f>[11]AD864HO_FERREYRA!L20</f>
        <v>11370</v>
      </c>
      <c r="AK69" s="301">
        <f t="shared" si="37"/>
        <v>20.277576637119704</v>
      </c>
      <c r="AL69" s="309" t="s">
        <v>155</v>
      </c>
      <c r="AM69" s="310">
        <f>[1]AD864HO_FERREYRA!D37</f>
        <v>281118.52687179018</v>
      </c>
      <c r="AN69" s="300">
        <f>[1]AD864HO_FERREYRA!L23</f>
        <v>12611</v>
      </c>
      <c r="AO69" s="301">
        <f t="shared" si="38"/>
        <v>22.291533333739608</v>
      </c>
      <c r="AP69" s="309" t="s">
        <v>155</v>
      </c>
      <c r="AQ69" s="310">
        <f>[2]AD864HO_FERREYRA!D37</f>
        <v>222695.35780774959</v>
      </c>
      <c r="AR69" s="300">
        <f>[2]AD864HO_FERREYRA!L23</f>
        <v>11525</v>
      </c>
      <c r="AS69" s="301">
        <f t="shared" si="39"/>
        <v>19.322807618893673</v>
      </c>
      <c r="AT69" s="309" t="s">
        <v>155</v>
      </c>
      <c r="AU69" s="310">
        <f>AD864HO_FERREYRA!D35</f>
        <v>209115.71091595836</v>
      </c>
      <c r="AV69" s="300">
        <f>AD864HO_FERREYRA!L21</f>
        <v>9702</v>
      </c>
      <c r="AW69" s="301">
        <f t="shared" si="40"/>
        <v>21.553876614714323</v>
      </c>
    </row>
    <row r="70" spans="1:49" x14ac:dyDescent="0.25">
      <c r="A70" s="302" t="s">
        <v>373</v>
      </c>
      <c r="B70" s="309" t="s">
        <v>134</v>
      </c>
      <c r="C70" s="310">
        <f>[3]AC377BI_GODOY!D33</f>
        <v>95778.741918166968</v>
      </c>
      <c r="D70" s="300">
        <f>[3]AC377BI_GODOY!L19</f>
        <v>9972</v>
      </c>
      <c r="E70" s="301">
        <f t="shared" si="29"/>
        <v>9.604767540931304</v>
      </c>
      <c r="F70" s="309" t="s">
        <v>134</v>
      </c>
      <c r="G70" s="310">
        <f>[4]AC377BI_GODOY!D38</f>
        <v>212405.08194484527</v>
      </c>
      <c r="H70" s="300">
        <f>[4]AC377BI_GODOY!L24</f>
        <v>13756</v>
      </c>
      <c r="I70" s="301">
        <f t="shared" si="30"/>
        <v>15.44090447403644</v>
      </c>
      <c r="J70" s="309" t="s">
        <v>134</v>
      </c>
      <c r="K70" s="310">
        <f>[5]AC377BI_GODOY!D38</f>
        <v>225998.03979390615</v>
      </c>
      <c r="L70" s="300">
        <f>[5]AC377BI_GODOY!L24</f>
        <v>14314</v>
      </c>
      <c r="M70" s="301">
        <f t="shared" si="31"/>
        <v>15.788601354890748</v>
      </c>
      <c r="N70" s="309" t="s">
        <v>134</v>
      </c>
      <c r="O70" s="310">
        <f>[6]AC377BI_GODOY!D32</f>
        <v>115016.96127552931</v>
      </c>
      <c r="P70" s="300">
        <f>[6]AC377BI_GODOY!L18</f>
        <v>8816</v>
      </c>
      <c r="Q70" s="301">
        <f t="shared" si="32"/>
        <v>13.046388529438442</v>
      </c>
      <c r="R70" s="309" t="s">
        <v>134</v>
      </c>
      <c r="S70" s="310">
        <f>[7]AC377BI_GODOY!D37</f>
        <v>188334.17968431191</v>
      </c>
      <c r="T70" s="300">
        <f>[7]AC377BI_GODOY!L23</f>
        <v>14060</v>
      </c>
      <c r="U70" s="301">
        <f t="shared" si="33"/>
        <v>13.395034116949638</v>
      </c>
      <c r="V70" s="309" t="s">
        <v>134</v>
      </c>
      <c r="W70" s="310">
        <f>[8]AC377BI_GODOY!D32</f>
        <v>188754.66951152933</v>
      </c>
      <c r="X70" s="300">
        <f>[8]AC377BI_GODOY!L18</f>
        <v>9076</v>
      </c>
      <c r="Y70" s="301">
        <f t="shared" si="34"/>
        <v>20.797120924584544</v>
      </c>
      <c r="Z70" s="309" t="s">
        <v>134</v>
      </c>
      <c r="AA70" s="310">
        <f>[9]AC377BI_GODOY!D32</f>
        <v>87981.096921459713</v>
      </c>
      <c r="AB70" s="300">
        <f>[9]AC377BI_GODOY!L18</f>
        <v>8134</v>
      </c>
      <c r="AC70" s="301">
        <f t="shared" si="35"/>
        <v>10.816461386951035</v>
      </c>
      <c r="AD70" s="309" t="s">
        <v>134</v>
      </c>
      <c r="AE70" s="310">
        <f>[10]AC377BI_GODOY!D33</f>
        <v>194726.61455996407</v>
      </c>
      <c r="AF70" s="300">
        <f>[10]AC377BI_GODOY!L19</f>
        <v>9618</v>
      </c>
      <c r="AG70" s="301">
        <f t="shared" si="36"/>
        <v>20.246060985648167</v>
      </c>
      <c r="AH70" s="309" t="s">
        <v>134</v>
      </c>
      <c r="AI70" s="310">
        <f>[11]AC377BI_GODOY!D30</f>
        <v>147127.61913596405</v>
      </c>
      <c r="AJ70" s="300">
        <f>[11]AC377BI_GODOY!L16</f>
        <v>7768</v>
      </c>
      <c r="AK70" s="301">
        <f t="shared" si="37"/>
        <v>18.940218735319778</v>
      </c>
      <c r="AL70" s="309" t="s">
        <v>134</v>
      </c>
      <c r="AM70" s="310">
        <f>[1]AC377BI_GODOY!D35</f>
        <v>275626.78264405113</v>
      </c>
      <c r="AN70" s="300">
        <f>[1]AC377BI_GODOY!L21</f>
        <v>11980</v>
      </c>
      <c r="AO70" s="301">
        <f t="shared" si="38"/>
        <v>23.007243960271378</v>
      </c>
      <c r="AP70" s="309" t="s">
        <v>134</v>
      </c>
      <c r="AQ70" s="310">
        <f>[2]AC377BI_GODOY!D39</f>
        <v>240163.48863131486</v>
      </c>
      <c r="AR70" s="300">
        <f>[2]AC377BI_GODOY!L25</f>
        <v>11992</v>
      </c>
      <c r="AS70" s="301">
        <f t="shared" si="39"/>
        <v>20.026975369522585</v>
      </c>
      <c r="AT70" s="309" t="s">
        <v>134</v>
      </c>
      <c r="AU70" s="310">
        <f>AC377BI_GODOY!D36</f>
        <v>240792.01761456707</v>
      </c>
      <c r="AV70" s="300">
        <f>AC377BI_GODOY!L22</f>
        <v>10972</v>
      </c>
      <c r="AW70" s="301">
        <f t="shared" si="40"/>
        <v>21.946046082260942</v>
      </c>
    </row>
    <row r="71" spans="1:49" x14ac:dyDescent="0.25">
      <c r="A71" s="302" t="s">
        <v>374</v>
      </c>
      <c r="B71" s="309" t="s">
        <v>33</v>
      </c>
      <c r="C71" s="310">
        <f>[3]AA612XR_ITATI!D34</f>
        <v>163098.66402596407</v>
      </c>
      <c r="D71" s="300">
        <f>[3]AA612XR_ITATI!L20</f>
        <v>11186</v>
      </c>
      <c r="E71" s="301">
        <f t="shared" si="29"/>
        <v>14.580606474697307</v>
      </c>
      <c r="F71" s="309" t="s">
        <v>33</v>
      </c>
      <c r="G71" s="310">
        <f>[4]AA612XR_ITATI!D32</f>
        <v>115206.66778500759</v>
      </c>
      <c r="H71" s="300">
        <f>[4]AA612XR_ITATI!L18</f>
        <v>10270</v>
      </c>
      <c r="I71" s="301">
        <f t="shared" si="30"/>
        <v>11.217786541870263</v>
      </c>
      <c r="J71" s="309" t="s">
        <v>33</v>
      </c>
      <c r="K71" s="310">
        <f>[5]AA612XR_ITATI!D34</f>
        <v>169540.27432390611</v>
      </c>
      <c r="L71" s="300">
        <f>[5]AA612XR_ITATI!L20</f>
        <v>10904</v>
      </c>
      <c r="M71" s="301">
        <f t="shared" si="31"/>
        <v>15.548447755310539</v>
      </c>
      <c r="N71" s="309" t="s">
        <v>33</v>
      </c>
      <c r="O71" s="310">
        <f>[6]AA612XR_ITATI!D30</f>
        <v>114456.08605442785</v>
      </c>
      <c r="P71" s="300">
        <f>[6]AA612XR_ITATI!L16</f>
        <v>6908</v>
      </c>
      <c r="Q71" s="301">
        <f t="shared" si="32"/>
        <v>16.568628554491582</v>
      </c>
      <c r="R71" s="309" t="s">
        <v>33</v>
      </c>
      <c r="S71" s="310">
        <f>[7]AA612XR_ITATI!D30</f>
        <v>64712.768417645217</v>
      </c>
      <c r="T71" s="300">
        <f>[7]AA612XR_ITATI!L16</f>
        <v>7160</v>
      </c>
      <c r="U71" s="301">
        <f t="shared" si="33"/>
        <v>9.0380961477158124</v>
      </c>
      <c r="V71" s="309" t="s">
        <v>33</v>
      </c>
      <c r="W71" s="310">
        <f>[8]AA612XR_ITATI!D32</f>
        <v>155409.43083268873</v>
      </c>
      <c r="X71" s="300">
        <f>[8]AA612XR_ITATI!L18</f>
        <v>9086</v>
      </c>
      <c r="Y71" s="301">
        <f t="shared" si="34"/>
        <v>17.104273699393431</v>
      </c>
      <c r="Z71" s="309" t="s">
        <v>33</v>
      </c>
      <c r="AA71" s="310">
        <f>[9]AA612XR_ITATI!D31</f>
        <v>165543.41600769744</v>
      </c>
      <c r="AB71" s="300">
        <f>[9]AA612XR_ITATI!L17</f>
        <v>8612</v>
      </c>
      <c r="AC71" s="301">
        <f t="shared" si="35"/>
        <v>19.222412448641133</v>
      </c>
      <c r="AD71" s="309" t="s">
        <v>33</v>
      </c>
      <c r="AE71" s="310">
        <f>[10]AA612XR_ITATI!D32</f>
        <v>162984.90073164523</v>
      </c>
      <c r="AF71" s="300">
        <f>[10]AA612XR_ITATI!L18</f>
        <v>8124</v>
      </c>
      <c r="AG71" s="301">
        <f t="shared" si="36"/>
        <v>20.062149277652047</v>
      </c>
      <c r="AH71" s="309" t="s">
        <v>33</v>
      </c>
      <c r="AI71" s="310">
        <f>[11]AA612XR_ITATI!D28</f>
        <v>119286.09621060174</v>
      </c>
      <c r="AJ71" s="300">
        <f>[11]AA612XR_ITATI!L14</f>
        <v>7748</v>
      </c>
      <c r="AK71" s="301">
        <f t="shared" si="37"/>
        <v>15.395727440707503</v>
      </c>
      <c r="AL71" s="309" t="s">
        <v>33</v>
      </c>
      <c r="AM71" s="310">
        <f>[1]AA612XR_ITATI!D32</f>
        <v>226343.08198477572</v>
      </c>
      <c r="AN71" s="300">
        <f>[1]AA612XR_ITATI!L18</f>
        <v>10470</v>
      </c>
      <c r="AO71" s="301">
        <f t="shared" si="38"/>
        <v>21.618250428345341</v>
      </c>
      <c r="AP71" s="309" t="s">
        <v>33</v>
      </c>
      <c r="AQ71" s="310">
        <f>[2]AA612XR_ITATI!D33</f>
        <v>241610.38497873518</v>
      </c>
      <c r="AR71" s="300">
        <f>[2]AA612XR_ITATI!L19</f>
        <v>10376</v>
      </c>
      <c r="AS71" s="301">
        <f t="shared" si="39"/>
        <v>23.285503563871934</v>
      </c>
      <c r="AT71" s="309" t="s">
        <v>33</v>
      </c>
      <c r="AU71" s="310">
        <f>AA612XR_ITATI!D31</f>
        <v>180465.12250301341</v>
      </c>
      <c r="AV71" s="300">
        <f>AA612XR_ITATI!L17</f>
        <v>9726</v>
      </c>
      <c r="AW71" s="301">
        <f t="shared" si="40"/>
        <v>18.554916975428071</v>
      </c>
    </row>
    <row r="72" spans="1:49" x14ac:dyDescent="0.25">
      <c r="A72" s="302" t="s">
        <v>375</v>
      </c>
      <c r="B72" s="309" t="s">
        <v>189</v>
      </c>
      <c r="C72" s="310">
        <f>[3]HVE658_ITATI!D32</f>
        <v>134536.32159077568</v>
      </c>
      <c r="D72" s="300">
        <f>[3]HVE658_ITATI!L18</f>
        <v>9872</v>
      </c>
      <c r="E72" s="301">
        <f t="shared" si="29"/>
        <v>13.628071473944052</v>
      </c>
      <c r="F72" s="309" t="s">
        <v>189</v>
      </c>
      <c r="G72" s="310">
        <f>[4]HVE658_ITATI!D24</f>
        <v>71244.413103680039</v>
      </c>
      <c r="H72" s="300">
        <f>[4]HVE658_ITATI!L10</f>
        <v>4568</v>
      </c>
      <c r="I72" s="301">
        <f t="shared" si="30"/>
        <v>15.596412675936961</v>
      </c>
      <c r="J72" s="309" t="s">
        <v>189</v>
      </c>
      <c r="K72" s="310">
        <f>[5]HVE658_ITATI!D37</f>
        <v>193027.93044390611</v>
      </c>
      <c r="L72" s="300">
        <f>[5]HVE658_ITATI!L23</f>
        <v>11914</v>
      </c>
      <c r="M72" s="301">
        <f t="shared" si="31"/>
        <v>16.201773580989265</v>
      </c>
      <c r="N72" s="309" t="s">
        <v>189</v>
      </c>
      <c r="O72" s="310">
        <f>[6]HVE658_ITATI!D34</f>
        <v>170342.73505442787</v>
      </c>
      <c r="P72" s="300">
        <f>[6]HVE658_ITATI!L20</f>
        <v>10358</v>
      </c>
      <c r="Q72" s="301">
        <f t="shared" si="32"/>
        <v>16.445523755013312</v>
      </c>
      <c r="R72" s="309" t="s">
        <v>189</v>
      </c>
      <c r="S72" s="310">
        <f>[7]HVE658_ITATI!D39</f>
        <v>161705.40119764526</v>
      </c>
      <c r="T72" s="300">
        <f>[7]HVE658_ITATI!L25</f>
        <v>11760</v>
      </c>
      <c r="U72" s="301">
        <f t="shared" si="33"/>
        <v>13.750459285514053</v>
      </c>
      <c r="V72" s="309" t="s">
        <v>189</v>
      </c>
      <c r="W72" s="310">
        <f>[8]HVE658_ITATI!D34</f>
        <v>125286.42601016699</v>
      </c>
      <c r="X72" s="300">
        <f>[8]HVE658_ITATI!L20</f>
        <v>8242</v>
      </c>
      <c r="Y72" s="301">
        <f t="shared" si="34"/>
        <v>15.200973794002305</v>
      </c>
      <c r="Z72" s="309" t="s">
        <v>189</v>
      </c>
      <c r="AA72" s="310">
        <f>[9]HVE658_ITATI!D29</f>
        <v>103674.92599632349</v>
      </c>
      <c r="AB72" s="300">
        <f>[9]HVE658_ITATI!L15</f>
        <v>6926</v>
      </c>
      <c r="AC72" s="301">
        <f t="shared" si="35"/>
        <v>14.968946866347602</v>
      </c>
      <c r="AD72" s="309" t="s">
        <v>189</v>
      </c>
      <c r="AE72" s="310">
        <f>[10]HVE658_ITATI!D34</f>
        <v>135585.21041590613</v>
      </c>
      <c r="AF72" s="300">
        <f>[10]HVE658_ITATI!L20</f>
        <v>9223</v>
      </c>
      <c r="AG72" s="301">
        <f t="shared" si="36"/>
        <v>14.700770943934309</v>
      </c>
      <c r="AH72" s="309" t="s">
        <v>189</v>
      </c>
      <c r="AI72" s="310">
        <f>[11]HVE658_ITATI!D27</f>
        <v>118182.68681738435</v>
      </c>
      <c r="AJ72" s="300">
        <f>[11]HVE658_ITATI!L13</f>
        <v>6310</v>
      </c>
      <c r="AK72" s="301">
        <f t="shared" si="37"/>
        <v>18.72942738785806</v>
      </c>
      <c r="AL72" s="309" t="s">
        <v>189</v>
      </c>
      <c r="AM72" s="310">
        <f>[1]HVE658_ITATI!D32</f>
        <v>177114.42344408005</v>
      </c>
      <c r="AN72" s="300">
        <f>[1]HVE658_ITATI!L18</f>
        <v>10098</v>
      </c>
      <c r="AO72" s="301">
        <f t="shared" si="38"/>
        <v>17.539554708266987</v>
      </c>
      <c r="AP72" s="309" t="s">
        <v>187</v>
      </c>
      <c r="AQ72" s="310">
        <f>[2]HVE658_ITATI!D38</f>
        <v>278912.83328969171</v>
      </c>
      <c r="AR72" s="300">
        <f>[2]HVE658_ITATI!L24</f>
        <v>13208</v>
      </c>
      <c r="AS72" s="301">
        <f t="shared" si="39"/>
        <v>21.116961938953036</v>
      </c>
      <c r="AT72" s="309" t="s">
        <v>187</v>
      </c>
      <c r="AU72" s="310">
        <f>HVE658_ITATI!D35</f>
        <v>245277.63992485686</v>
      </c>
      <c r="AV72" s="300">
        <f>HVE658_ITATI!L21</f>
        <v>10947</v>
      </c>
      <c r="AW72" s="301">
        <f t="shared" si="40"/>
        <v>22.405923077085674</v>
      </c>
    </row>
    <row r="73" spans="1:49" hidden="1" x14ac:dyDescent="0.25">
      <c r="A73" s="302" t="s">
        <v>1120</v>
      </c>
      <c r="B73" s="309"/>
      <c r="C73" s="310"/>
      <c r="D73" s="300"/>
      <c r="E73" s="301"/>
      <c r="F73" s="309"/>
      <c r="G73" s="310"/>
      <c r="H73" s="300"/>
      <c r="I73" s="301"/>
      <c r="J73" s="309"/>
      <c r="K73" s="310"/>
      <c r="L73" s="300"/>
      <c r="M73" s="301"/>
      <c r="N73" s="309"/>
      <c r="O73" s="310"/>
      <c r="P73" s="300"/>
      <c r="Q73" s="301"/>
      <c r="R73" s="309"/>
      <c r="S73" s="310"/>
      <c r="T73" s="300"/>
      <c r="U73" s="301"/>
      <c r="V73" s="309"/>
      <c r="W73" s="310"/>
      <c r="X73" s="300"/>
      <c r="Y73" s="301" t="e">
        <f t="shared" si="34"/>
        <v>#DIV/0!</v>
      </c>
      <c r="Z73" s="309"/>
      <c r="AA73" s="310"/>
      <c r="AB73" s="300"/>
      <c r="AC73" s="301" t="e">
        <f t="shared" si="35"/>
        <v>#DIV/0!</v>
      </c>
      <c r="AD73" s="309"/>
      <c r="AE73" s="310"/>
      <c r="AF73" s="300"/>
      <c r="AG73" s="301" t="e">
        <f t="shared" si="36"/>
        <v>#DIV/0!</v>
      </c>
      <c r="AH73" s="309"/>
      <c r="AI73" s="310"/>
      <c r="AJ73" s="300"/>
      <c r="AK73" s="301" t="e">
        <f t="shared" si="37"/>
        <v>#DIV/0!</v>
      </c>
      <c r="AL73" s="309"/>
      <c r="AM73" s="310"/>
      <c r="AN73" s="300"/>
      <c r="AO73" s="301" t="e">
        <f t="shared" si="38"/>
        <v>#DIV/0!</v>
      </c>
      <c r="AP73" s="309"/>
      <c r="AQ73" s="310"/>
      <c r="AR73" s="300"/>
      <c r="AS73" s="301" t="e">
        <f t="shared" si="39"/>
        <v>#DIV/0!</v>
      </c>
      <c r="AT73" s="309"/>
      <c r="AU73" s="310"/>
      <c r="AV73" s="300"/>
      <c r="AW73" s="301" t="e">
        <f t="shared" si="40"/>
        <v>#DIV/0!</v>
      </c>
    </row>
    <row r="74" spans="1:49" hidden="1" x14ac:dyDescent="0.25">
      <c r="A74" s="302" t="s">
        <v>1121</v>
      </c>
      <c r="B74" s="309"/>
      <c r="C74" s="310"/>
      <c r="D74" s="300"/>
      <c r="E74" s="301"/>
      <c r="F74" s="309"/>
      <c r="G74" s="310"/>
      <c r="H74" s="300"/>
      <c r="I74" s="301"/>
      <c r="J74" s="309"/>
      <c r="K74" s="310"/>
      <c r="L74" s="300"/>
      <c r="M74" s="301"/>
      <c r="N74" s="309"/>
      <c r="O74" s="310"/>
      <c r="P74" s="300"/>
      <c r="Q74" s="301"/>
      <c r="R74" s="309"/>
      <c r="S74" s="310"/>
      <c r="T74" s="300"/>
      <c r="U74" s="301"/>
      <c r="V74" s="309"/>
      <c r="W74" s="310"/>
      <c r="X74" s="300"/>
      <c r="Y74" s="301" t="e">
        <f t="shared" si="34"/>
        <v>#DIV/0!</v>
      </c>
      <c r="Z74" s="309"/>
      <c r="AA74" s="310"/>
      <c r="AB74" s="300"/>
      <c r="AC74" s="301" t="e">
        <f t="shared" si="35"/>
        <v>#DIV/0!</v>
      </c>
      <c r="AD74" s="309"/>
      <c r="AE74" s="310"/>
      <c r="AF74" s="300"/>
      <c r="AG74" s="301" t="e">
        <f t="shared" si="36"/>
        <v>#DIV/0!</v>
      </c>
      <c r="AH74" s="309"/>
      <c r="AI74" s="310"/>
      <c r="AJ74" s="300"/>
      <c r="AK74" s="301" t="e">
        <f t="shared" si="37"/>
        <v>#DIV/0!</v>
      </c>
      <c r="AL74" s="309"/>
      <c r="AM74" s="310"/>
      <c r="AN74" s="300"/>
      <c r="AO74" s="301" t="e">
        <f t="shared" si="38"/>
        <v>#DIV/0!</v>
      </c>
      <c r="AP74" s="309"/>
      <c r="AQ74" s="310"/>
      <c r="AR74" s="300"/>
      <c r="AS74" s="301" t="e">
        <f t="shared" si="39"/>
        <v>#DIV/0!</v>
      </c>
      <c r="AT74" s="309"/>
      <c r="AU74" s="310"/>
      <c r="AV74" s="300"/>
      <c r="AW74" s="301" t="e">
        <f t="shared" si="40"/>
        <v>#DIV/0!</v>
      </c>
    </row>
    <row r="75" spans="1:49" x14ac:dyDescent="0.25">
      <c r="A75" s="302" t="s">
        <v>376</v>
      </c>
      <c r="B75" s="309" t="s">
        <v>258</v>
      </c>
      <c r="C75" s="310">
        <f>[3]KNQ676_ITATI!D33</f>
        <v>172845.98262518144</v>
      </c>
      <c r="D75" s="300">
        <f>[3]KNQ676_ITATI!L19</f>
        <v>11239</v>
      </c>
      <c r="E75" s="301">
        <f>C75/D75</f>
        <v>15.379124710844509</v>
      </c>
      <c r="F75" s="309" t="s">
        <v>258</v>
      </c>
      <c r="G75" s="310">
        <f>[4]KNQ676_ITATI!D34</f>
        <v>160546.80813093804</v>
      </c>
      <c r="H75" s="300">
        <f>[4]KNQ676_ITATI!L20</f>
        <v>12569</v>
      </c>
      <c r="I75" s="301">
        <f t="shared" si="30"/>
        <v>12.773236385626385</v>
      </c>
      <c r="J75" s="309" t="s">
        <v>258</v>
      </c>
      <c r="K75" s="310">
        <f>[5]KNQ676_ITATI!D33</f>
        <v>102013.69899723942</v>
      </c>
      <c r="L75" s="300">
        <f>[5]KNQ676_ITATI!L19</f>
        <v>9770</v>
      </c>
      <c r="M75" s="301">
        <f>K75/L75</f>
        <v>10.441524974128907</v>
      </c>
      <c r="N75" s="309" t="s">
        <v>258</v>
      </c>
      <c r="O75" s="310">
        <f>[6]KNQ676_ITATI!D29</f>
        <v>135159.67380144238</v>
      </c>
      <c r="P75" s="300">
        <f>[6]KNQ676_ITATI!L15</f>
        <v>8140</v>
      </c>
      <c r="Q75" s="301">
        <f>O75/P75</f>
        <v>16.604382530889726</v>
      </c>
      <c r="R75" s="309" t="s">
        <v>258</v>
      </c>
      <c r="S75" s="310">
        <f>[7]KNQ676_ITATI!D36</f>
        <v>174521.89042179019</v>
      </c>
      <c r="T75" s="300">
        <f>[7]KNQ676_ITATI!L22</f>
        <v>11130</v>
      </c>
      <c r="U75" s="301">
        <f t="shared" si="33"/>
        <v>15.6803136048329</v>
      </c>
      <c r="V75" s="309" t="s">
        <v>258</v>
      </c>
      <c r="W75" s="310">
        <f>[8]KNQ676_ITATI!D31</f>
        <v>186034.60748083366</v>
      </c>
      <c r="X75" s="300">
        <f>[8]KNQ676_ITATI!L17</f>
        <v>9093</v>
      </c>
      <c r="Y75" s="301">
        <f t="shared" si="34"/>
        <v>20.459101229608891</v>
      </c>
      <c r="Z75" s="309" t="s">
        <v>258</v>
      </c>
      <c r="AA75" s="310">
        <f>[9]KNQ676_ITATI!D33</f>
        <v>96621.213087494485</v>
      </c>
      <c r="AB75" s="300">
        <f>[9]KNQ676_ITATI!L19</f>
        <v>7657</v>
      </c>
      <c r="AC75" s="301">
        <f t="shared" si="35"/>
        <v>12.61867743078157</v>
      </c>
      <c r="AD75" s="309" t="s">
        <v>258</v>
      </c>
      <c r="AE75" s="310">
        <f>[10]KNQ676_ITATI!D34</f>
        <v>197279.35048952929</v>
      </c>
      <c r="AF75" s="300">
        <f>[10]KNQ676_ITATI!L20</f>
        <v>8783</v>
      </c>
      <c r="AG75" s="301">
        <f t="shared" si="36"/>
        <v>22.46149954338259</v>
      </c>
      <c r="AH75" s="309" t="s">
        <v>258</v>
      </c>
      <c r="AI75" s="310">
        <f>[11]KNQ676_ITATI!D28</f>
        <v>119412.92788152926</v>
      </c>
      <c r="AJ75" s="300">
        <f>[11]KNQ676_ITATI!L14</f>
        <v>5789</v>
      </c>
      <c r="AK75" s="301">
        <f t="shared" si="37"/>
        <v>20.627557070569921</v>
      </c>
      <c r="AL75" s="309" t="s">
        <v>258</v>
      </c>
      <c r="AM75" s="310">
        <f>[1]KNQ676_ITATI!D34</f>
        <v>212178.28742387719</v>
      </c>
      <c r="AN75" s="300">
        <f>[1]KNQ676_ITATI!L20</f>
        <v>9932</v>
      </c>
      <c r="AO75" s="301">
        <f t="shared" si="38"/>
        <v>21.363097807478574</v>
      </c>
      <c r="AP75" s="309" t="s">
        <v>300</v>
      </c>
      <c r="AQ75" s="310">
        <f>[2]KNQ676_ITATI!D37</f>
        <v>236688.56349131491</v>
      </c>
      <c r="AR75" s="300">
        <f>[2]KNQ676_ITATI!L23</f>
        <v>12107</v>
      </c>
      <c r="AS75" s="301">
        <f t="shared" si="39"/>
        <v>19.549728544752202</v>
      </c>
      <c r="AT75" s="309" t="s">
        <v>258</v>
      </c>
      <c r="AU75" s="310">
        <f>KNQ676_ITATI!D36</f>
        <v>227499.90971625401</v>
      </c>
      <c r="AV75" s="300">
        <f>KNQ676_ITATI!L22</f>
        <v>12724</v>
      </c>
      <c r="AW75" s="301">
        <f t="shared" si="40"/>
        <v>17.879590515266742</v>
      </c>
    </row>
    <row r="76" spans="1:49" hidden="1" x14ac:dyDescent="0.25">
      <c r="A76" s="302" t="s">
        <v>1122</v>
      </c>
      <c r="B76" s="309" t="s">
        <v>66</v>
      </c>
      <c r="C76" s="310">
        <f>[3]HAU361_LOPEZ!D23</f>
        <v>41601.452977703215</v>
      </c>
      <c r="D76" s="300">
        <f>[3]HAU361_LOPEZ!L9</f>
        <v>3606</v>
      </c>
      <c r="E76" s="301">
        <f>C76/D76</f>
        <v>11.536731275014757</v>
      </c>
      <c r="F76" s="309"/>
      <c r="G76" s="310"/>
      <c r="H76" s="300"/>
      <c r="I76" s="301"/>
      <c r="J76" s="309"/>
      <c r="K76" s="310"/>
      <c r="L76" s="300"/>
      <c r="M76" s="301"/>
      <c r="N76" s="309"/>
      <c r="O76" s="310"/>
      <c r="P76" s="300"/>
      <c r="Q76" s="301"/>
      <c r="R76" s="309"/>
      <c r="S76" s="310"/>
      <c r="T76" s="300"/>
      <c r="U76" s="301"/>
      <c r="V76" s="309"/>
      <c r="W76" s="310"/>
      <c r="X76" s="300"/>
      <c r="Y76" s="301" t="e">
        <f t="shared" si="34"/>
        <v>#DIV/0!</v>
      </c>
      <c r="Z76" s="309"/>
      <c r="AA76" s="310"/>
      <c r="AB76" s="300"/>
      <c r="AC76" s="301" t="e">
        <f t="shared" si="35"/>
        <v>#DIV/0!</v>
      </c>
      <c r="AD76" s="309"/>
      <c r="AE76" s="310"/>
      <c r="AF76" s="300"/>
      <c r="AG76" s="301" t="e">
        <f t="shared" si="36"/>
        <v>#DIV/0!</v>
      </c>
      <c r="AH76" s="309"/>
      <c r="AI76" s="310"/>
      <c r="AJ76" s="300"/>
      <c r="AK76" s="301" t="e">
        <f t="shared" si="37"/>
        <v>#DIV/0!</v>
      </c>
      <c r="AL76" s="309"/>
      <c r="AM76" s="310"/>
      <c r="AN76" s="300"/>
      <c r="AO76" s="301" t="e">
        <f t="shared" si="38"/>
        <v>#DIV/0!</v>
      </c>
      <c r="AP76" s="309"/>
      <c r="AQ76" s="310"/>
      <c r="AR76" s="300"/>
      <c r="AS76" s="301" t="e">
        <f t="shared" si="39"/>
        <v>#DIV/0!</v>
      </c>
      <c r="AT76" s="309"/>
      <c r="AU76" s="310"/>
      <c r="AV76" s="300"/>
      <c r="AW76" s="301" t="e">
        <f t="shared" si="40"/>
        <v>#DIV/0!</v>
      </c>
    </row>
    <row r="77" spans="1:49" x14ac:dyDescent="0.25">
      <c r="A77" s="302" t="s">
        <v>1123</v>
      </c>
      <c r="B77" s="309" t="s">
        <v>313</v>
      </c>
      <c r="C77" s="310">
        <f>[3]OMA273_LOPEZ!D31</f>
        <v>150379.96341332642</v>
      </c>
      <c r="D77" s="300">
        <f>[3]OMA273_LOPEZ!L17</f>
        <v>9580</v>
      </c>
      <c r="E77" s="301">
        <f>C77/D77</f>
        <v>15.697282193457873</v>
      </c>
      <c r="F77" s="309" t="s">
        <v>313</v>
      </c>
      <c r="G77" s="310">
        <f>[4]OMA273_LOPEZ!D33</f>
        <v>146220.89210026554</v>
      </c>
      <c r="H77" s="300">
        <f>[4]OMA273_LOPEZ!L19</f>
        <v>10336</v>
      </c>
      <c r="I77" s="301">
        <f t="shared" si="30"/>
        <v>14.146758136635597</v>
      </c>
      <c r="J77" s="309" t="s">
        <v>313</v>
      </c>
      <c r="K77" s="310">
        <f>[5]OMA273_LOPEZ!D36</f>
        <v>162624.98798390612</v>
      </c>
      <c r="L77" s="300">
        <f>[5]OMA273_LOPEZ!L22</f>
        <v>11310</v>
      </c>
      <c r="M77" s="301">
        <f>K77/L77</f>
        <v>14.378867195747667</v>
      </c>
      <c r="N77" s="309" t="s">
        <v>313</v>
      </c>
      <c r="O77" s="310">
        <f>[6]OMA273_LOPEZ!D27</f>
        <v>117793.42232929742</v>
      </c>
      <c r="P77" s="300">
        <f>[6]OMA273_LOPEZ!L13</f>
        <v>6676</v>
      </c>
      <c r="Q77" s="301">
        <f>O77/P77</f>
        <v>17.644311313555637</v>
      </c>
      <c r="R77" s="309" t="s">
        <v>313</v>
      </c>
      <c r="S77" s="310">
        <f>[7]OMA273_LOPEZ!D34</f>
        <v>129404.55221308874</v>
      </c>
      <c r="T77" s="300">
        <f>[7]OMA273_LOPEZ!L20</f>
        <v>11502</v>
      </c>
      <c r="U77" s="301">
        <f t="shared" si="33"/>
        <v>11.250613129289579</v>
      </c>
      <c r="V77" s="309" t="s">
        <v>313</v>
      </c>
      <c r="W77" s="310">
        <f>[8]OMA273_LOPEZ!D32</f>
        <v>152898.16625703656</v>
      </c>
      <c r="X77" s="300">
        <f>[8]OMA273_LOPEZ!L18</f>
        <v>9526</v>
      </c>
      <c r="Y77" s="301">
        <f t="shared" si="34"/>
        <v>16.050615815351307</v>
      </c>
      <c r="Z77" s="309" t="s">
        <v>313</v>
      </c>
      <c r="AA77" s="310">
        <f>[9]OMA273_LOPEZ!D29</f>
        <v>144410.47506910612</v>
      </c>
      <c r="AB77" s="300">
        <f>[9]OMA273_LOPEZ!L15</f>
        <v>6716</v>
      </c>
      <c r="AC77" s="301">
        <f t="shared" si="35"/>
        <v>21.50245310737137</v>
      </c>
      <c r="AD77" s="309" t="s">
        <v>313</v>
      </c>
      <c r="AE77" s="310">
        <f>[10]OMA273_LOPEZ!D33</f>
        <v>189220.92467486265</v>
      </c>
      <c r="AF77" s="300">
        <f>[10]OMA273_LOPEZ!L19</f>
        <v>10416</v>
      </c>
      <c r="AG77" s="301">
        <f t="shared" si="36"/>
        <v>18.166371416557475</v>
      </c>
      <c r="AH77" s="309" t="s">
        <v>313</v>
      </c>
      <c r="AI77" s="310">
        <f>[11]OMA273_LOPEZ!D30</f>
        <v>189786.24937251481</v>
      </c>
      <c r="AJ77" s="300">
        <f>[11]OMA273_LOPEZ!L16</f>
        <v>9436</v>
      </c>
      <c r="AK77" s="301">
        <f t="shared" si="37"/>
        <v>20.112998025912972</v>
      </c>
      <c r="AL77" s="309" t="s">
        <v>313</v>
      </c>
      <c r="AM77" s="310">
        <f>[1]OMA273_LOPEZ!D36</f>
        <v>227590.17094016701</v>
      </c>
      <c r="AN77" s="300">
        <f>[1]OMA273_LOPEZ!L22</f>
        <v>10478</v>
      </c>
      <c r="AO77" s="301">
        <f t="shared" si="38"/>
        <v>21.720764548593912</v>
      </c>
      <c r="AP77" s="309" t="s">
        <v>313</v>
      </c>
      <c r="AQ77" s="310">
        <f>[2]OMA273_LOPEZ!D25</f>
        <v>107963.75300316993</v>
      </c>
      <c r="AR77" s="300">
        <f>[2]OMA273_LOPEZ!L11</f>
        <v>4918</v>
      </c>
      <c r="AS77" s="301">
        <f t="shared" si="39"/>
        <v>21.952776129152081</v>
      </c>
      <c r="AT77" s="309" t="s">
        <v>313</v>
      </c>
      <c r="AU77" s="310">
        <f>OMA273_LOPEZ!D35</f>
        <v>233540.52479734388</v>
      </c>
      <c r="AV77" s="300">
        <f>OMA273_LOPEZ!L21</f>
        <v>11710</v>
      </c>
      <c r="AW77" s="301">
        <f t="shared" si="40"/>
        <v>19.943682732480262</v>
      </c>
    </row>
    <row r="78" spans="1:49" x14ac:dyDescent="0.25">
      <c r="A78" s="302" t="s">
        <v>378</v>
      </c>
      <c r="B78" s="309" t="s">
        <v>238</v>
      </c>
      <c r="C78" s="310">
        <f>[3]KGF058_REYERO!D31</f>
        <v>136824.14487086266</v>
      </c>
      <c r="D78" s="300">
        <f>[3]KGF058_REYERO!L17</f>
        <v>10390</v>
      </c>
      <c r="E78" s="301">
        <f>C78/D78</f>
        <v>13.168830112691305</v>
      </c>
      <c r="F78" s="309" t="s">
        <v>238</v>
      </c>
      <c r="G78" s="310">
        <f>[4]KGF058_REYERO!D30</f>
        <v>144618.01478781918</v>
      </c>
      <c r="H78" s="300">
        <f>[4]KGF058_REYERO!L16</f>
        <v>9400</v>
      </c>
      <c r="I78" s="301">
        <f t="shared" si="30"/>
        <v>15.38489519019353</v>
      </c>
      <c r="J78" s="309" t="s">
        <v>238</v>
      </c>
      <c r="K78" s="310">
        <f>[5]KGF058_REYERO!D37</f>
        <v>224419.72529390611</v>
      </c>
      <c r="L78" s="300">
        <f>[5]KGF058_REYERO!L23</f>
        <v>13830</v>
      </c>
      <c r="M78" s="301">
        <f>K78/L78</f>
        <v>16.227022797824013</v>
      </c>
      <c r="N78" s="309" t="s">
        <v>238</v>
      </c>
      <c r="O78" s="310">
        <f>[6]KGF058_REYERO!D31</f>
        <v>150751.06868955831</v>
      </c>
      <c r="P78" s="300">
        <f>[6]KGF058_REYERO!L17</f>
        <v>8520</v>
      </c>
      <c r="Q78" s="301">
        <f>O78/P78</f>
        <v>17.693787404877735</v>
      </c>
      <c r="R78" s="309" t="s">
        <v>238</v>
      </c>
      <c r="S78" s="310">
        <f>[7]KGF058_REYERO!D33</f>
        <v>137610.44946428871</v>
      </c>
      <c r="T78" s="300">
        <f>[7]KGF058_REYERO!L19</f>
        <v>9248</v>
      </c>
      <c r="U78" s="301">
        <f t="shared" si="33"/>
        <v>14.880022649685198</v>
      </c>
      <c r="V78" s="309" t="s">
        <v>238</v>
      </c>
      <c r="W78" s="310">
        <f>[8]KGF058_REYERO!D34</f>
        <v>194825.21472373218</v>
      </c>
      <c r="X78" s="300">
        <f>[8]KGF058_REYERO!L20</f>
        <v>10268</v>
      </c>
      <c r="Y78" s="301">
        <f t="shared" si="34"/>
        <v>18.974017795455023</v>
      </c>
      <c r="Z78" s="309" t="s">
        <v>238</v>
      </c>
      <c r="AA78" s="310">
        <f>[9]KGF058_REYERO!D31</f>
        <v>142436.11761635827</v>
      </c>
      <c r="AB78" s="300">
        <f>[9]KGF058_REYERO!L17</f>
        <v>7944</v>
      </c>
      <c r="AC78" s="301">
        <f t="shared" si="35"/>
        <v>17.930024876178031</v>
      </c>
      <c r="AD78" s="309" t="s">
        <v>238</v>
      </c>
      <c r="AE78" s="310">
        <f>[10]KGF058_REYERO!D24</f>
        <v>92618.48999894959</v>
      </c>
      <c r="AF78" s="300">
        <f>[10]KGF058_REYERO!L10</f>
        <v>4718</v>
      </c>
      <c r="AG78" s="301">
        <f t="shared" si="36"/>
        <v>19.630879609781601</v>
      </c>
      <c r="AH78" s="309" t="s">
        <v>238</v>
      </c>
      <c r="AI78" s="310">
        <f>[11]KGF058_REYERO!D34</f>
        <v>218645.80798894959</v>
      </c>
      <c r="AJ78" s="300">
        <f>[11]KGF058_REYERO!L20</f>
        <v>11852</v>
      </c>
      <c r="AK78" s="301">
        <f t="shared" si="37"/>
        <v>18.448009448949509</v>
      </c>
      <c r="AL78" s="309" t="s">
        <v>238</v>
      </c>
      <c r="AM78" s="310">
        <f>[1]KGF058_REYERO!D36</f>
        <v>255985.00987477566</v>
      </c>
      <c r="AN78" s="300">
        <f>[1]KGF058_REYERO!L22</f>
        <v>11735</v>
      </c>
      <c r="AO78" s="301">
        <f t="shared" si="38"/>
        <v>21.813805698745263</v>
      </c>
      <c r="AP78" s="309" t="s">
        <v>238</v>
      </c>
      <c r="AQ78" s="310">
        <f>[2]KGF058_REYERO!D39</f>
        <v>365128.77357569174</v>
      </c>
      <c r="AR78" s="300">
        <f>[2]KGF058_REYERO!L25</f>
        <v>16106</v>
      </c>
      <c r="AS78" s="301">
        <f t="shared" si="39"/>
        <v>22.670357231819928</v>
      </c>
      <c r="AT78" s="309" t="s">
        <v>238</v>
      </c>
      <c r="AU78" s="310">
        <f>KGF058_REYERO!D34</f>
        <v>230616.44772299606</v>
      </c>
      <c r="AV78" s="300">
        <f>KGF058_REYERO!L20</f>
        <v>10935</v>
      </c>
      <c r="AW78" s="301">
        <f t="shared" si="40"/>
        <v>21.089752878188939</v>
      </c>
    </row>
    <row r="79" spans="1:49" hidden="1" x14ac:dyDescent="0.25">
      <c r="A79" s="302" t="s">
        <v>1124</v>
      </c>
      <c r="B79" s="309"/>
      <c r="C79" s="310"/>
      <c r="D79" s="300"/>
      <c r="E79" s="301"/>
      <c r="F79" s="309"/>
      <c r="G79" s="310"/>
      <c r="H79" s="300"/>
      <c r="I79" s="301"/>
      <c r="J79" s="309"/>
      <c r="K79" s="310"/>
      <c r="L79" s="300"/>
      <c r="M79" s="301"/>
      <c r="N79" s="309"/>
      <c r="O79" s="310"/>
      <c r="P79" s="300"/>
      <c r="Q79" s="301"/>
      <c r="R79" s="309"/>
      <c r="S79" s="310"/>
      <c r="T79" s="300"/>
      <c r="U79" s="301"/>
      <c r="V79" s="309"/>
      <c r="W79" s="310"/>
      <c r="X79" s="300"/>
      <c r="Y79" s="301" t="e">
        <f t="shared" si="34"/>
        <v>#DIV/0!</v>
      </c>
      <c r="Z79" s="309"/>
      <c r="AA79" s="310"/>
      <c r="AB79" s="300"/>
      <c r="AC79" s="301" t="e">
        <f t="shared" si="35"/>
        <v>#DIV/0!</v>
      </c>
      <c r="AD79" s="309"/>
      <c r="AE79" s="310"/>
      <c r="AF79" s="300"/>
      <c r="AG79" s="301" t="e">
        <f t="shared" si="36"/>
        <v>#DIV/0!</v>
      </c>
      <c r="AH79" s="309"/>
      <c r="AI79" s="310"/>
      <c r="AJ79" s="300"/>
      <c r="AK79" s="301" t="e">
        <f t="shared" si="37"/>
        <v>#DIV/0!</v>
      </c>
      <c r="AL79" s="309"/>
      <c r="AM79" s="310"/>
      <c r="AN79" s="300"/>
      <c r="AO79" s="301" t="e">
        <f t="shared" si="38"/>
        <v>#DIV/0!</v>
      </c>
      <c r="AP79" s="309"/>
      <c r="AQ79" s="310"/>
      <c r="AR79" s="300"/>
      <c r="AS79" s="301" t="e">
        <f t="shared" si="39"/>
        <v>#DIV/0!</v>
      </c>
      <c r="AT79" s="309"/>
      <c r="AU79" s="310"/>
      <c r="AV79" s="300"/>
      <c r="AW79" s="301"/>
    </row>
    <row r="80" spans="1:49" x14ac:dyDescent="0.25">
      <c r="A80" s="302" t="s">
        <v>380</v>
      </c>
      <c r="B80" s="309"/>
      <c r="C80" s="310"/>
      <c r="D80" s="300"/>
      <c r="E80" s="301"/>
      <c r="F80" s="309"/>
      <c r="G80" s="310"/>
      <c r="H80" s="300"/>
      <c r="I80" s="301"/>
      <c r="J80" s="309" t="s">
        <v>161</v>
      </c>
      <c r="K80" s="310">
        <f>'[5]AE502ET_S.Y.L'!D32</f>
        <v>119946.86484390609</v>
      </c>
      <c r="L80" s="300">
        <f>'[5]AE502ET_S.Y.L'!L18</f>
        <v>8208</v>
      </c>
      <c r="M80" s="301">
        <f>K80/L80</f>
        <v>14.613409459540216</v>
      </c>
      <c r="N80" s="309" t="s">
        <v>161</v>
      </c>
      <c r="O80" s="310">
        <f>'[6]AE502ET_S.Y.L'!D36</f>
        <v>189882.91715396411</v>
      </c>
      <c r="P80" s="300">
        <f>'[6]AE502ET_S.Y.L'!L22</f>
        <v>11782</v>
      </c>
      <c r="Q80" s="301">
        <f>O80/P80</f>
        <v>16.116356913424216</v>
      </c>
      <c r="R80" s="309" t="s">
        <v>161</v>
      </c>
      <c r="S80" s="310">
        <f>'[7]AE502ET_S.Y.L'!D31</f>
        <v>172530.41159758146</v>
      </c>
      <c r="T80" s="300">
        <f>'[7]AE502ET_S.Y.L'!L17</f>
        <v>9452</v>
      </c>
      <c r="U80" s="301">
        <f t="shared" si="33"/>
        <v>18.253323275241375</v>
      </c>
      <c r="V80" s="309" t="s">
        <v>161</v>
      </c>
      <c r="W80" s="310">
        <f>'[8]AE502ET_S.Y.L'!D33</f>
        <v>185925.67859361626</v>
      </c>
      <c r="X80" s="300">
        <f>'[8]AE502ET_S.Y.L'!L19</f>
        <v>11210</v>
      </c>
      <c r="Y80" s="301">
        <f t="shared" si="34"/>
        <v>16.585698358038918</v>
      </c>
      <c r="Z80" s="309" t="s">
        <v>161</v>
      </c>
      <c r="AA80" s="310">
        <f>'[9]AE502ET_S.Y.L'!D30</f>
        <v>167881.34684509455</v>
      </c>
      <c r="AB80" s="300">
        <f>'[9]AE502ET_S.Y.L'!L16</f>
        <v>8140</v>
      </c>
      <c r="AC80" s="301">
        <f t="shared" si="35"/>
        <v>20.624244084163951</v>
      </c>
      <c r="AD80" s="309" t="s">
        <v>66</v>
      </c>
      <c r="AE80" s="310">
        <f>'[10]AE502ET_S.Y.L'!D35</f>
        <v>198857.9745907757</v>
      </c>
      <c r="AF80" s="300">
        <f>'[10]AE502ET_S.Y.L'!L21</f>
        <v>10824</v>
      </c>
      <c r="AG80" s="301">
        <f t="shared" si="36"/>
        <v>18.371948872022884</v>
      </c>
      <c r="AH80" s="309" t="s">
        <v>66</v>
      </c>
      <c r="AI80" s="310">
        <f>'[11]AE502ET_S.Y.L'!D38</f>
        <v>253120.50720981916</v>
      </c>
      <c r="AJ80" s="300">
        <f>'[11]AE502ET_S.Y.L'!L24</f>
        <v>12452</v>
      </c>
      <c r="AK80" s="301">
        <f t="shared" si="37"/>
        <v>20.327698940717891</v>
      </c>
      <c r="AL80" s="309" t="s">
        <v>66</v>
      </c>
      <c r="AM80" s="310">
        <f>'[1]AE502ET_S.Y.L'!D35</f>
        <v>261996.44906242794</v>
      </c>
      <c r="AN80" s="300">
        <f>'[1]AE502ET_S.Y.L'!L21</f>
        <v>10997</v>
      </c>
      <c r="AO80" s="301">
        <f t="shared" si="38"/>
        <v>23.824356557463666</v>
      </c>
      <c r="AP80" s="309" t="s">
        <v>66</v>
      </c>
      <c r="AQ80" s="310">
        <f>'[2]AE502ET_S.Y.L'!D35</f>
        <v>245782.05891108303</v>
      </c>
      <c r="AR80" s="300">
        <f>'[2]AE502ET_S.Y.L'!L21</f>
        <v>12905</v>
      </c>
      <c r="AS80" s="301">
        <f t="shared" si="39"/>
        <v>19.045490810622475</v>
      </c>
      <c r="AT80" s="309" t="s">
        <v>161</v>
      </c>
      <c r="AU80" s="310">
        <f>'AE502ET_S.Y.L'!D35</f>
        <v>258580.56370332104</v>
      </c>
      <c r="AV80" s="300">
        <f>'AE502ET_S.Y.L'!L21</f>
        <v>10766</v>
      </c>
      <c r="AW80" s="301">
        <f t="shared" si="40"/>
        <v>24.018257821226179</v>
      </c>
    </row>
    <row r="81" spans="1:49" x14ac:dyDescent="0.25">
      <c r="A81" s="302" t="s">
        <v>381</v>
      </c>
      <c r="B81" s="309"/>
      <c r="C81" s="310"/>
      <c r="D81" s="300"/>
      <c r="E81" s="301"/>
      <c r="F81" s="309"/>
      <c r="G81" s="310"/>
      <c r="H81" s="300"/>
      <c r="I81" s="301"/>
      <c r="J81" s="309" t="s">
        <v>463</v>
      </c>
      <c r="K81" s="310">
        <f>'[5]MBP526_S.Y.L'!D29</f>
        <v>78293.505603906116</v>
      </c>
      <c r="L81" s="300">
        <f>'[5]MBP526_S.Y.L'!L15</f>
        <v>7078</v>
      </c>
      <c r="M81" s="301">
        <f>K81/L81</f>
        <v>11.061529472154016</v>
      </c>
      <c r="N81" s="309" t="s">
        <v>463</v>
      </c>
      <c r="O81" s="310">
        <f>'[6]MBP526_S.Y.L'!D35</f>
        <v>206123.59821338439</v>
      </c>
      <c r="P81" s="300">
        <f>'[6]MBP526_S.Y.L'!L21</f>
        <v>12412</v>
      </c>
      <c r="Q81" s="301">
        <f>O81/P81</f>
        <v>16.606799727149888</v>
      </c>
      <c r="R81" s="309" t="s">
        <v>463</v>
      </c>
      <c r="S81" s="310">
        <f>'[7]MBP526_S.Y.L'!D36</f>
        <v>178003.76673705393</v>
      </c>
      <c r="T81" s="300">
        <f>'[7]MBP526_S.Y.L'!L22</f>
        <v>9804</v>
      </c>
      <c r="U81" s="301">
        <f t="shared" si="33"/>
        <v>18.156238957267842</v>
      </c>
      <c r="V81" s="309" t="s">
        <v>463</v>
      </c>
      <c r="W81" s="310">
        <f>'[8]MBP526_S.Y.L'!D27</f>
        <v>82658.512177819139</v>
      </c>
      <c r="X81" s="300">
        <f>'[8]MBP526_S.Y.L'!L13</f>
        <v>5180</v>
      </c>
      <c r="Y81" s="301">
        <f t="shared" si="34"/>
        <v>15.957241733169719</v>
      </c>
      <c r="Z81" s="309" t="s">
        <v>463</v>
      </c>
      <c r="AA81" s="310">
        <f>'[9]MBP526_S.Y.L'!D25</f>
        <v>31940.268278601783</v>
      </c>
      <c r="AB81" s="300">
        <f>'[9]MBP526_S.Y.L'!L11</f>
        <v>5180</v>
      </c>
      <c r="AC81" s="301">
        <f t="shared" si="35"/>
        <v>6.1660749572590312</v>
      </c>
      <c r="AD81" s="309" t="s">
        <v>463</v>
      </c>
      <c r="AE81" s="310">
        <f>'[10]MBP526_S.Y.L'!D35</f>
        <v>194000.8288305148</v>
      </c>
      <c r="AF81" s="300">
        <f>'[10]MBP526_S.Y.L'!L21</f>
        <v>10576</v>
      </c>
      <c r="AG81" s="301">
        <f t="shared" si="36"/>
        <v>18.343497431024471</v>
      </c>
      <c r="AH81" s="309" t="s">
        <v>463</v>
      </c>
      <c r="AI81" s="310">
        <f>'[11]MBP526_S.Y.L'!D36</f>
        <v>241919.41064686267</v>
      </c>
      <c r="AJ81" s="300">
        <f>'[11]MBP526_S.Y.L'!L22</f>
        <v>11056</v>
      </c>
      <c r="AK81" s="301">
        <f t="shared" si="37"/>
        <v>21.881278097581646</v>
      </c>
      <c r="AL81" s="309" t="s">
        <v>463</v>
      </c>
      <c r="AM81" s="310">
        <f>'[1]MBP526_S.Y.L'!D36</f>
        <v>171906.18162877567</v>
      </c>
      <c r="AN81" s="300">
        <f>'[1]MBP526_S.Y.L'!L22</f>
        <v>10424</v>
      </c>
      <c r="AO81" s="301">
        <f t="shared" si="38"/>
        <v>16.491383502376792</v>
      </c>
      <c r="AP81" s="309" t="s">
        <v>463</v>
      </c>
      <c r="AQ81" s="310">
        <f>'[2]MBP526_S.Y.L'!D35</f>
        <v>229523.18091482215</v>
      </c>
      <c r="AR81" s="300">
        <f>'[2]MBP526_S.Y.L'!L21</f>
        <v>11106</v>
      </c>
      <c r="AS81" s="301">
        <f t="shared" si="39"/>
        <v>20.666592915074929</v>
      </c>
      <c r="AT81" s="309" t="s">
        <v>300</v>
      </c>
      <c r="AU81" s="310">
        <f>'MBP526_S.Y.L'!D32</f>
        <v>200214.33558428878</v>
      </c>
      <c r="AV81" s="300">
        <f>'MBP526_S.Y.L'!L18</f>
        <v>9616</v>
      </c>
      <c r="AW81" s="301">
        <f t="shared" si="40"/>
        <v>20.820958359431028</v>
      </c>
    </row>
    <row r="82" spans="1:49" hidden="1" x14ac:dyDescent="0.25">
      <c r="A82" s="302" t="s">
        <v>1125</v>
      </c>
      <c r="B82" s="309" t="s">
        <v>155</v>
      </c>
      <c r="C82" s="310">
        <f>'[3]OVQ005_S.Y.L'!D32</f>
        <v>120747.62445770323</v>
      </c>
      <c r="D82" s="300">
        <f>'[3]OVQ005_S.Y.L'!L18</f>
        <v>8321</v>
      </c>
      <c r="E82" s="301">
        <f t="shared" ref="E82:E87" si="41">C82/D82</f>
        <v>14.511191498341935</v>
      </c>
      <c r="F82" s="309"/>
      <c r="G82" s="310"/>
      <c r="H82" s="300"/>
      <c r="I82" s="301"/>
      <c r="J82" s="309"/>
      <c r="K82" s="310"/>
      <c r="L82" s="300"/>
      <c r="M82" s="301"/>
      <c r="N82" s="309"/>
      <c r="O82" s="310"/>
      <c r="P82" s="300"/>
      <c r="Q82" s="301"/>
      <c r="R82" s="309"/>
      <c r="S82" s="310"/>
      <c r="T82" s="300"/>
      <c r="U82" s="301"/>
      <c r="V82" s="309"/>
      <c r="W82" s="310"/>
      <c r="X82" s="300"/>
      <c r="Y82" s="301" t="e">
        <f t="shared" si="34"/>
        <v>#DIV/0!</v>
      </c>
      <c r="Z82" s="309"/>
      <c r="AA82" s="310"/>
      <c r="AB82" s="300"/>
      <c r="AC82" s="301" t="e">
        <f t="shared" si="35"/>
        <v>#DIV/0!</v>
      </c>
      <c r="AD82" s="309"/>
      <c r="AE82" s="310"/>
      <c r="AF82" s="300"/>
      <c r="AG82" s="301" t="e">
        <f t="shared" si="36"/>
        <v>#DIV/0!</v>
      </c>
      <c r="AH82" s="309"/>
      <c r="AI82" s="310"/>
      <c r="AJ82" s="300"/>
      <c r="AK82" s="301" t="e">
        <f t="shared" si="37"/>
        <v>#DIV/0!</v>
      </c>
      <c r="AL82" s="309"/>
      <c r="AM82" s="310"/>
      <c r="AN82" s="300"/>
      <c r="AO82" s="301" t="e">
        <f t="shared" si="38"/>
        <v>#DIV/0!</v>
      </c>
      <c r="AP82" s="309"/>
      <c r="AQ82" s="310"/>
      <c r="AR82" s="300"/>
      <c r="AS82" s="301" t="e">
        <f t="shared" si="39"/>
        <v>#DIV/0!</v>
      </c>
      <c r="AT82" s="309"/>
      <c r="AU82" s="310"/>
      <c r="AV82" s="300"/>
      <c r="AW82" s="301" t="e">
        <f t="shared" si="40"/>
        <v>#DIV/0!</v>
      </c>
    </row>
    <row r="83" spans="1:49" hidden="1" x14ac:dyDescent="0.25">
      <c r="A83" s="302" t="s">
        <v>1126</v>
      </c>
      <c r="B83" s="309" t="s">
        <v>463</v>
      </c>
      <c r="C83" s="310">
        <f>'[3]PIA309_S.Y.L'!D33</f>
        <v>119146.61575552929</v>
      </c>
      <c r="D83" s="300">
        <f>'[3]PIA309_S.Y.L'!L19</f>
        <v>11126</v>
      </c>
      <c r="E83" s="301">
        <f t="shared" si="41"/>
        <v>10.708845564940615</v>
      </c>
      <c r="F83" s="309" t="s">
        <v>463</v>
      </c>
      <c r="G83" s="310">
        <f>'[4]PIA309_S.Y.L'!D32</f>
        <v>161396.12711126849</v>
      </c>
      <c r="H83" s="300">
        <f>'[4]PIA309_S.Y.L'!L18</f>
        <v>10360</v>
      </c>
      <c r="I83" s="301">
        <f t="shared" si="30"/>
        <v>15.57877674819194</v>
      </c>
      <c r="J83" s="309" t="s">
        <v>66</v>
      </c>
      <c r="K83" s="310">
        <f>'[5]PIA309_S.Y.L'!D37</f>
        <v>200980.42863390612</v>
      </c>
      <c r="L83" s="300">
        <f>'[5]PIA309_S.Y.L'!L23</f>
        <v>12456</v>
      </c>
      <c r="M83" s="301">
        <f>K83/L83</f>
        <v>16.135230301373323</v>
      </c>
      <c r="N83" s="309" t="s">
        <v>66</v>
      </c>
      <c r="O83" s="310">
        <f>'[6]PIA309_S.Y.L'!D25</f>
        <v>73085.407750080034</v>
      </c>
      <c r="P83" s="300">
        <f>'[6]PIA309_S.Y.L'!L11</f>
        <v>5308</v>
      </c>
      <c r="Q83" s="301">
        <f>O83/P83</f>
        <v>13.768916305591567</v>
      </c>
      <c r="R83" s="309" t="s">
        <v>66</v>
      </c>
      <c r="S83" s="310">
        <f>'[7]PIA309_S.Y.L'!D27</f>
        <v>54147.869916062642</v>
      </c>
      <c r="T83" s="300">
        <f>'[7]PIA309_S.Y.L'!L13</f>
        <v>5916</v>
      </c>
      <c r="U83" s="301">
        <f t="shared" si="33"/>
        <v>9.1527839614710356</v>
      </c>
      <c r="V83" s="309" t="s">
        <v>66</v>
      </c>
      <c r="W83" s="310">
        <f>'[8]PIA309_S.Y.L'!D28</f>
        <v>131352.35004973222</v>
      </c>
      <c r="X83" s="300">
        <f>'[8]PIA309_S.Y.L'!L14</f>
        <v>7232</v>
      </c>
      <c r="Y83" s="301">
        <f t="shared" si="34"/>
        <v>18.162659022363417</v>
      </c>
      <c r="Z83" s="309" t="s">
        <v>66</v>
      </c>
      <c r="AA83" s="310">
        <f>'[9]PIA309_S.Y.L'!D24</f>
        <v>70012.293140166978</v>
      </c>
      <c r="AB83" s="300">
        <f>'[9]PIA309_S.Y.L'!L10</f>
        <v>3840</v>
      </c>
      <c r="AC83" s="301">
        <f t="shared" si="35"/>
        <v>18.232368005251818</v>
      </c>
      <c r="AD83" s="309"/>
      <c r="AE83" s="310"/>
      <c r="AF83" s="300"/>
      <c r="AG83" s="301" t="e">
        <f t="shared" si="36"/>
        <v>#DIV/0!</v>
      </c>
      <c r="AH83" s="309"/>
      <c r="AI83" s="310"/>
      <c r="AJ83" s="300"/>
      <c r="AK83" s="301" t="e">
        <f t="shared" si="37"/>
        <v>#DIV/0!</v>
      </c>
      <c r="AL83" s="309"/>
      <c r="AM83" s="310"/>
      <c r="AN83" s="300"/>
      <c r="AO83" s="301" t="e">
        <f t="shared" si="38"/>
        <v>#DIV/0!</v>
      </c>
      <c r="AP83" s="309"/>
      <c r="AQ83" s="310"/>
      <c r="AR83" s="300"/>
      <c r="AS83" s="301" t="e">
        <f t="shared" si="39"/>
        <v>#DIV/0!</v>
      </c>
      <c r="AT83" s="309"/>
      <c r="AU83" s="310"/>
      <c r="AV83" s="300"/>
      <c r="AW83" s="301" t="e">
        <f t="shared" si="40"/>
        <v>#DIV/0!</v>
      </c>
    </row>
    <row r="84" spans="1:49" x14ac:dyDescent="0.25">
      <c r="A84" s="302" t="s">
        <v>379</v>
      </c>
      <c r="B84" s="309" t="s">
        <v>161</v>
      </c>
      <c r="C84" s="310">
        <f>'[3]AB206GS_S.Y.L'!D37</f>
        <v>193208.04734860177</v>
      </c>
      <c r="D84" s="300">
        <f>'[3]AB206GS_S.Y.L'!L23</f>
        <v>12792</v>
      </c>
      <c r="E84" s="301">
        <f t="shared" si="41"/>
        <v>15.103818585725591</v>
      </c>
      <c r="F84" s="309" t="s">
        <v>161</v>
      </c>
      <c r="G84" s="310">
        <f>'[4]AB206GS_S.Y.L'!D34</f>
        <v>159985.48745943652</v>
      </c>
      <c r="H84" s="300">
        <f>'[4]AB206GS_S.Y.L'!L20</f>
        <v>10602</v>
      </c>
      <c r="I84" s="301">
        <f t="shared" si="30"/>
        <v>15.090123321961567</v>
      </c>
      <c r="J84" s="309" t="s">
        <v>1105</v>
      </c>
      <c r="K84" s="310">
        <f>'[5]AB206GS_S.Y.L'!D25</f>
        <v>84114.951489999992</v>
      </c>
      <c r="L84" s="300">
        <f>'[5]AB206GS_S.Y.L'!L11</f>
        <v>5180</v>
      </c>
      <c r="M84" s="301">
        <f>K84/L84</f>
        <v>16.238407623552121</v>
      </c>
      <c r="N84" s="251"/>
      <c r="O84" s="310"/>
      <c r="P84" s="300"/>
      <c r="Q84" s="301"/>
      <c r="R84" s="309"/>
      <c r="S84" s="310"/>
      <c r="T84" s="300"/>
      <c r="U84" s="301"/>
      <c r="V84" s="309"/>
      <c r="W84" s="310"/>
      <c r="X84" s="300"/>
      <c r="Y84" s="301" t="e">
        <f t="shared" si="34"/>
        <v>#DIV/0!</v>
      </c>
      <c r="Z84" s="309"/>
      <c r="AA84" s="310"/>
      <c r="AB84" s="300"/>
      <c r="AC84" s="301" t="e">
        <f t="shared" si="35"/>
        <v>#DIV/0!</v>
      </c>
      <c r="AD84" s="309"/>
      <c r="AE84" s="310"/>
      <c r="AF84" s="300"/>
      <c r="AG84" s="301" t="e">
        <f t="shared" si="36"/>
        <v>#DIV/0!</v>
      </c>
      <c r="AH84" s="309"/>
      <c r="AI84" s="310"/>
      <c r="AJ84" s="300"/>
      <c r="AK84" s="301" t="e">
        <f t="shared" si="37"/>
        <v>#DIV/0!</v>
      </c>
      <c r="AL84" s="309"/>
      <c r="AM84" s="310"/>
      <c r="AN84" s="300"/>
      <c r="AO84" s="301"/>
      <c r="AP84" s="309"/>
      <c r="AQ84" s="310"/>
      <c r="AR84" s="300"/>
      <c r="AS84" s="301"/>
      <c r="AT84" s="309" t="s">
        <v>66</v>
      </c>
      <c r="AU84" s="310">
        <f>'AB206GS_S.Y.L'!D26</f>
        <v>109803.8571406308</v>
      </c>
      <c r="AV84" s="300">
        <f>'AB206GS_S.Y.L'!L12</f>
        <v>5159</v>
      </c>
      <c r="AW84" s="301">
        <f t="shared" si="40"/>
        <v>21.283942070290909</v>
      </c>
    </row>
    <row r="85" spans="1:49" x14ac:dyDescent="0.25">
      <c r="A85" s="302" t="s">
        <v>382</v>
      </c>
      <c r="B85" s="309" t="s">
        <v>7</v>
      </c>
      <c r="C85" s="310">
        <f>[3]AA327US_TAMES!D33</f>
        <v>151439.19456836989</v>
      </c>
      <c r="D85" s="300">
        <f>[3]AA327US_TAMES!L19</f>
        <v>9724</v>
      </c>
      <c r="E85" s="301">
        <f t="shared" si="41"/>
        <v>15.573755097528784</v>
      </c>
      <c r="F85" s="309" t="s">
        <v>7</v>
      </c>
      <c r="G85" s="310">
        <f>[4]AA327US_TAMES!D36</f>
        <v>206158.03964384823</v>
      </c>
      <c r="H85" s="300">
        <f>[4]AA327US_TAMES!L22</f>
        <v>13320</v>
      </c>
      <c r="I85" s="301">
        <f t="shared" si="30"/>
        <v>15.477330303592209</v>
      </c>
      <c r="J85" s="309" t="s">
        <v>7</v>
      </c>
      <c r="K85" s="310">
        <f>[5]AA327US_TAMES!D37</f>
        <v>192730.51499723949</v>
      </c>
      <c r="L85" s="300">
        <f>[5]AA327US_TAMES!L23</f>
        <v>12562</v>
      </c>
      <c r="M85" s="301">
        <f>K85/L85</f>
        <v>15.342343177618172</v>
      </c>
      <c r="N85" s="312" t="s">
        <v>7</v>
      </c>
      <c r="O85" s="310">
        <f>[6]AA327US_TAMES!D35</f>
        <v>167875.40920610903</v>
      </c>
      <c r="P85" s="300">
        <f>[6]AA327US_TAMES!L21</f>
        <v>11636</v>
      </c>
      <c r="Q85" s="301">
        <f>O85/P85</f>
        <v>14.427243830019684</v>
      </c>
      <c r="R85" s="309" t="s">
        <v>7</v>
      </c>
      <c r="S85" s="310">
        <f>[7]AA327US_TAMES!D35</f>
        <v>118987.26655579594</v>
      </c>
      <c r="T85" s="300">
        <f>[7]AA327US_TAMES!L21</f>
        <v>8078</v>
      </c>
      <c r="U85" s="301">
        <f t="shared" si="33"/>
        <v>14.729792839291401</v>
      </c>
      <c r="V85" s="309" t="s">
        <v>7</v>
      </c>
      <c r="W85" s="310">
        <f>[8]AA327US_TAMES!D36</f>
        <v>155959.18971350032</v>
      </c>
      <c r="X85" s="300">
        <f>[8]AA327US_TAMES!L22</f>
        <v>9852</v>
      </c>
      <c r="Y85" s="301">
        <f t="shared" si="34"/>
        <v>15.830206020452733</v>
      </c>
      <c r="Z85" s="309" t="s">
        <v>7</v>
      </c>
      <c r="AA85" s="310">
        <f>[9]AA327US_TAMES!D29</f>
        <v>120520.68667918725</v>
      </c>
      <c r="AB85" s="300">
        <f>[9]AA327US_TAMES!L15</f>
        <v>6408</v>
      </c>
      <c r="AC85" s="301">
        <f t="shared" si="35"/>
        <v>18.807847484267672</v>
      </c>
      <c r="AD85" s="309" t="s">
        <v>7</v>
      </c>
      <c r="AE85" s="310">
        <f>[10]AA327US_TAMES!D31</f>
        <v>173674.1212087177</v>
      </c>
      <c r="AF85" s="300">
        <f>[10]AA327US_TAMES!L17</f>
        <v>8612</v>
      </c>
      <c r="AG85" s="301">
        <f t="shared" si="36"/>
        <v>20.166525918336937</v>
      </c>
      <c r="AH85" s="309" t="s">
        <v>7</v>
      </c>
      <c r="AI85" s="310">
        <f>[11]AA327US_TAMES!D35</f>
        <v>232312.44556889165</v>
      </c>
      <c r="AJ85" s="300">
        <f>[11]AA327US_TAMES!L21</f>
        <v>11766</v>
      </c>
      <c r="AK85" s="301">
        <f t="shared" si="37"/>
        <v>19.744385990896792</v>
      </c>
      <c r="AL85" s="309" t="s">
        <v>7</v>
      </c>
      <c r="AM85" s="310">
        <f>[1]AA327US_TAMES!D35</f>
        <v>216274.23118176122</v>
      </c>
      <c r="AN85" s="300">
        <f>[1]AA327US_TAMES!L21</f>
        <v>11158</v>
      </c>
      <c r="AO85" s="301">
        <f t="shared" si="38"/>
        <v>19.382885031525472</v>
      </c>
      <c r="AP85" s="309" t="s">
        <v>7</v>
      </c>
      <c r="AQ85" s="310">
        <f>[2]AA327US_TAMES!D25</f>
        <v>79895.410050068487</v>
      </c>
      <c r="AR85" s="300">
        <f>[2]AA327US_TAMES!L11</f>
        <v>4580</v>
      </c>
      <c r="AS85" s="301">
        <f t="shared" si="39"/>
        <v>17.444412674687442</v>
      </c>
      <c r="AT85" s="309" t="s">
        <v>7</v>
      </c>
      <c r="AU85" s="310">
        <f>AA327US_TAMES!D21</f>
        <v>65999.169317372827</v>
      </c>
      <c r="AV85" s="300">
        <f>AA327US_TAMES!L7</f>
        <v>2220</v>
      </c>
      <c r="AW85" s="301">
        <f t="shared" si="40"/>
        <v>29.72935554836614</v>
      </c>
    </row>
    <row r="86" spans="1:49" ht="15.75" thickBot="1" x14ac:dyDescent="0.3">
      <c r="A86" s="311" t="s">
        <v>383</v>
      </c>
      <c r="B86" s="309" t="s">
        <v>85</v>
      </c>
      <c r="C86" s="310">
        <f>'[3]AB631DS_TRANSP M Y H'!D36</f>
        <v>170393.55973364523</v>
      </c>
      <c r="D86" s="300">
        <f>'[3]AB631DS_TRANSP M Y H'!L22</f>
        <v>11786</v>
      </c>
      <c r="E86" s="301">
        <f t="shared" si="41"/>
        <v>14.457284891705857</v>
      </c>
      <c r="F86" s="309" t="s">
        <v>85</v>
      </c>
      <c r="G86" s="310">
        <f>'[4]AB631DS_TRANSP M Y H'!D34</f>
        <v>161995.93044444337</v>
      </c>
      <c r="H86" s="300">
        <f>'[4]AB631DS_TRANSP M Y H'!L20</f>
        <v>10888</v>
      </c>
      <c r="I86" s="301">
        <f t="shared" si="30"/>
        <v>14.878391848314049</v>
      </c>
      <c r="J86" s="309" t="s">
        <v>85</v>
      </c>
      <c r="K86" s="310">
        <f>'[5]AB631DS_TRANSP M Y H'!D34</f>
        <v>151151.00052390608</v>
      </c>
      <c r="L86" s="300">
        <f>'[5]AB631DS_TRANSP M Y H'!L20</f>
        <v>12422</v>
      </c>
      <c r="M86" s="301">
        <f>K86/L86</f>
        <v>12.168008414418457</v>
      </c>
      <c r="N86" s="312" t="s">
        <v>85</v>
      </c>
      <c r="O86" s="310">
        <f>'[6]AB631DS_TRANSP M Y H'!D36</f>
        <v>186568.12168634092</v>
      </c>
      <c r="P86" s="300">
        <f>'[6]AB631DS_TRANSP M Y H'!L22</f>
        <v>12304</v>
      </c>
      <c r="Q86" s="301">
        <f>O86/P86</f>
        <v>15.163208849670101</v>
      </c>
      <c r="R86" s="309" t="s">
        <v>85</v>
      </c>
      <c r="S86" s="310">
        <f>'[7]AB631DS_TRANSP M Y H'!D36</f>
        <v>114268.46923223653</v>
      </c>
      <c r="T86" s="300">
        <f>'[7]AB631DS_TRANSP M Y H'!L22</f>
        <v>12336</v>
      </c>
      <c r="U86" s="301">
        <f t="shared" si="33"/>
        <v>9.2630082062448551</v>
      </c>
      <c r="V86" s="309" t="s">
        <v>85</v>
      </c>
      <c r="W86" s="310">
        <f>'[8]AB631DS_TRASNP M Y H'!D33</f>
        <v>121096.69003555829</v>
      </c>
      <c r="X86" s="300">
        <f>'[8]AB631DS_TRASNP M Y H'!L19</f>
        <v>8024</v>
      </c>
      <c r="Y86" s="301">
        <f t="shared" si="34"/>
        <v>15.09181082197885</v>
      </c>
      <c r="Z86" s="309" t="s">
        <v>85</v>
      </c>
      <c r="AA86" s="310">
        <f>'[9]AB631DS_TRANSP M Y H'!D31</f>
        <v>161779.70838395829</v>
      </c>
      <c r="AB86" s="300">
        <f>'[9]AB631DS_TRANSP M Y H'!L17</f>
        <v>7852</v>
      </c>
      <c r="AC86" s="301">
        <f t="shared" si="35"/>
        <v>20.603630716245323</v>
      </c>
      <c r="AD86" s="309" t="s">
        <v>85</v>
      </c>
      <c r="AE86" s="310">
        <f>'[10]AB631DS_TRANSP M Y H'!D34</f>
        <v>191889.14859808001</v>
      </c>
      <c r="AF86" s="300">
        <f>'[10]AB631DS_TRANSP M Y H'!L20</f>
        <v>9373</v>
      </c>
      <c r="AG86" s="301">
        <f t="shared" si="36"/>
        <v>20.472543326371493</v>
      </c>
      <c r="AH86" s="309" t="s">
        <v>85</v>
      </c>
      <c r="AI86" s="310">
        <f>'[11]AB631DS_TRANSP M Y H'!D35</f>
        <v>197949.72713851483</v>
      </c>
      <c r="AJ86" s="300">
        <f>'[11]AB631DS_TRANSP M Y H'!L21</f>
        <v>10402</v>
      </c>
      <c r="AK86" s="301">
        <f t="shared" si="37"/>
        <v>19.029968000241766</v>
      </c>
      <c r="AL86" s="309" t="s">
        <v>85</v>
      </c>
      <c r="AM86" s="310">
        <f>'[1]AB631DS_TRANSP M Y H'!D39</f>
        <v>230212.8308517322</v>
      </c>
      <c r="AN86" s="300">
        <f>'[1]AB631DS_TRANSP M Y H'!L25</f>
        <v>11085</v>
      </c>
      <c r="AO86" s="301">
        <f t="shared" si="38"/>
        <v>20.767959481437277</v>
      </c>
      <c r="AP86" s="309" t="s">
        <v>85</v>
      </c>
      <c r="AQ86" s="310">
        <f>'[2]AB631DS_TRANP M Y H'!D35</f>
        <v>283572.6198672569</v>
      </c>
      <c r="AR86" s="300">
        <f>'[2]AB631DS_TRANP M Y H'!L21</f>
        <v>12502</v>
      </c>
      <c r="AS86" s="301">
        <f t="shared" si="39"/>
        <v>22.68218044051007</v>
      </c>
      <c r="AT86" s="309" t="s">
        <v>1130</v>
      </c>
      <c r="AU86" s="310">
        <f>'AB631DS_TRANSP M Y H'!D37</f>
        <v>246874.41913070035</v>
      </c>
      <c r="AV86" s="300">
        <f>'AB631DS_TRANSP M Y H'!L23</f>
        <v>12398</v>
      </c>
      <c r="AW86" s="301">
        <f t="shared" si="40"/>
        <v>19.912439032965022</v>
      </c>
    </row>
    <row r="87" spans="1:49" ht="15.75" thickBot="1" x14ac:dyDescent="0.3">
      <c r="A87" s="296" t="s">
        <v>1092</v>
      </c>
      <c r="B87" s="304"/>
      <c r="C87" s="305">
        <f>SUM(C66:C86)</f>
        <v>2024221.2296975192</v>
      </c>
      <c r="D87" s="556">
        <f>SUM(D66:D86)</f>
        <v>156298</v>
      </c>
      <c r="E87" s="550">
        <f t="shared" si="41"/>
        <v>12.951037311402061</v>
      </c>
      <c r="F87" s="304"/>
      <c r="G87" s="305">
        <f>SUM(G66:G86)</f>
        <v>2295921.9080719016</v>
      </c>
      <c r="H87" s="556">
        <f>SUM(H66:H86)</f>
        <v>156689</v>
      </c>
      <c r="I87" s="550">
        <f t="shared" si="30"/>
        <v>14.652731896124818</v>
      </c>
      <c r="J87" s="304"/>
      <c r="K87" s="305">
        <f>SUM(K66:K86)</f>
        <v>2665349.9725085916</v>
      </c>
      <c r="L87" s="556">
        <f>SUM(L66:L86)</f>
        <v>179244</v>
      </c>
      <c r="M87" s="550">
        <f>K87/L87</f>
        <v>14.869953652610919</v>
      </c>
      <c r="N87" s="304"/>
      <c r="O87" s="305">
        <f>SUM(O66:O86)</f>
        <v>2359679.8032382154</v>
      </c>
      <c r="P87" s="556">
        <f>SUM(P66:P86)</f>
        <v>149392</v>
      </c>
      <c r="Q87" s="550">
        <f>O87/P87</f>
        <v>15.795221988046316</v>
      </c>
      <c r="R87" s="304"/>
      <c r="S87" s="305">
        <f>SUM(S66:S86)</f>
        <v>2215580.0611510323</v>
      </c>
      <c r="T87" s="556">
        <f>SUM(T66:T86)</f>
        <v>158588</v>
      </c>
      <c r="U87" s="550">
        <f t="shared" si="33"/>
        <v>13.970666514181605</v>
      </c>
      <c r="V87" s="304"/>
      <c r="W87" s="305">
        <f>SUM(W66:W86)</f>
        <v>2266003.3096829108</v>
      </c>
      <c r="X87" s="556">
        <f>SUM(X66:X86)</f>
        <v>132293</v>
      </c>
      <c r="Y87" s="550">
        <f t="shared" si="34"/>
        <v>17.128671280286266</v>
      </c>
      <c r="Z87" s="304"/>
      <c r="AA87" s="305">
        <f>SUM(AA66:AA86)</f>
        <v>1987520.9637366845</v>
      </c>
      <c r="AB87" s="556">
        <f>SUM(AB66:AB86)</f>
        <v>114763</v>
      </c>
      <c r="AC87" s="550">
        <f t="shared" si="35"/>
        <v>17.318482121735094</v>
      </c>
      <c r="AD87" s="304"/>
      <c r="AE87" s="305">
        <f>SUM(AE66:AE86)</f>
        <v>2451917.5565256421</v>
      </c>
      <c r="AF87" s="556">
        <f>SUM(AF66:AF86)</f>
        <v>128981</v>
      </c>
      <c r="AG87" s="550">
        <f t="shared" si="36"/>
        <v>19.009912750914026</v>
      </c>
      <c r="AH87" s="304"/>
      <c r="AI87" s="305">
        <f>SUM(AI66:AI86)</f>
        <v>2568587.1020172946</v>
      </c>
      <c r="AJ87" s="556">
        <f>SUM(AJ66:AJ86)</f>
        <v>131405</v>
      </c>
      <c r="AK87" s="550">
        <f t="shared" si="37"/>
        <v>19.547103245822417</v>
      </c>
      <c r="AL87" s="304"/>
      <c r="AM87" s="305">
        <f>SUM(AM66:AM86)</f>
        <v>2951792.3203314687</v>
      </c>
      <c r="AN87" s="556">
        <f>SUM(AN66:AN86)</f>
        <v>150712</v>
      </c>
      <c r="AO87" s="550">
        <f t="shared" si="38"/>
        <v>19.585648921993396</v>
      </c>
      <c r="AP87" s="304"/>
      <c r="AQ87" s="305">
        <f>SUM(AQ66:AQ86)</f>
        <v>3215679.9460388138</v>
      </c>
      <c r="AR87" s="556">
        <f>SUM(AR66:AR86)</f>
        <v>153324</v>
      </c>
      <c r="AS87" s="550">
        <f t="shared" si="39"/>
        <v>20.973102358657574</v>
      </c>
      <c r="AT87" s="304"/>
      <c r="AU87" s="305">
        <f>SUM(AU66:AU86)</f>
        <v>3272617.8669532537</v>
      </c>
      <c r="AV87" s="556">
        <f>SUM(AV66:AV86)</f>
        <v>155347</v>
      </c>
      <c r="AW87" s="550">
        <f>AU87/AV87</f>
        <v>21.06650187614343</v>
      </c>
    </row>
    <row r="88" spans="1:49" ht="15.75" thickBot="1" x14ac:dyDescent="0.3">
      <c r="A88" s="294" t="s">
        <v>1096</v>
      </c>
      <c r="B88" s="306"/>
      <c r="C88" s="307">
        <v>-251650.85</v>
      </c>
      <c r="D88" s="557"/>
      <c r="E88" s="551"/>
      <c r="F88" s="306"/>
      <c r="G88" s="307">
        <f>G87-C87</f>
        <v>271700.67837438243</v>
      </c>
      <c r="H88" s="557"/>
      <c r="I88" s="551"/>
      <c r="J88" s="306"/>
      <c r="K88" s="307">
        <f>K87-G87</f>
        <v>369428.06443668995</v>
      </c>
      <c r="L88" s="557"/>
      <c r="M88" s="551"/>
      <c r="N88" s="306"/>
      <c r="O88" s="307">
        <f>O87-K87</f>
        <v>-305670.16927037621</v>
      </c>
      <c r="P88" s="557"/>
      <c r="Q88" s="551"/>
      <c r="R88" s="306"/>
      <c r="S88" s="307">
        <f>S87-O87</f>
        <v>-144099.74208718305</v>
      </c>
      <c r="T88" s="557"/>
      <c r="U88" s="551"/>
      <c r="V88" s="306"/>
      <c r="W88" s="307">
        <f>W87-S87</f>
        <v>50423.24853187846</v>
      </c>
      <c r="X88" s="557"/>
      <c r="Y88" s="551"/>
      <c r="Z88" s="306"/>
      <c r="AA88" s="307">
        <f>AA87-W87</f>
        <v>-278482.34594622627</v>
      </c>
      <c r="AB88" s="557"/>
      <c r="AC88" s="551"/>
      <c r="AD88" s="306"/>
      <c r="AE88" s="307">
        <f>AE87-AA87</f>
        <v>464396.59278895753</v>
      </c>
      <c r="AF88" s="557"/>
      <c r="AG88" s="551"/>
      <c r="AH88" s="306"/>
      <c r="AI88" s="307">
        <f>AI87-AE87</f>
        <v>116669.54549165256</v>
      </c>
      <c r="AJ88" s="557"/>
      <c r="AK88" s="551"/>
      <c r="AL88" s="306"/>
      <c r="AM88" s="307">
        <f>AM87-AI87</f>
        <v>383205.2183141741</v>
      </c>
      <c r="AN88" s="557"/>
      <c r="AO88" s="551"/>
      <c r="AP88" s="306"/>
      <c r="AQ88" s="307">
        <f>AQ87-AM87</f>
        <v>263887.62570734508</v>
      </c>
      <c r="AR88" s="557"/>
      <c r="AS88" s="551"/>
      <c r="AT88" s="306"/>
      <c r="AU88" s="307">
        <f>AU87-AQ87</f>
        <v>56937.92091443995</v>
      </c>
      <c r="AV88" s="557"/>
      <c r="AW88" s="551"/>
    </row>
    <row r="89" spans="1:49" ht="15.75" thickBot="1" x14ac:dyDescent="0.3"/>
    <row r="90" spans="1:49" ht="15.75" thickBot="1" x14ac:dyDescent="0.3">
      <c r="A90" s="596" t="s">
        <v>1127</v>
      </c>
      <c r="B90" s="496">
        <v>44136</v>
      </c>
      <c r="C90" s="497"/>
      <c r="D90" s="497"/>
      <c r="E90" s="498"/>
      <c r="F90" s="593">
        <v>44166</v>
      </c>
      <c r="G90" s="594"/>
      <c r="H90" s="594"/>
      <c r="I90" s="595"/>
      <c r="J90" s="593">
        <v>44197</v>
      </c>
      <c r="K90" s="594"/>
      <c r="L90" s="594"/>
      <c r="M90" s="595"/>
      <c r="N90" s="593">
        <v>44228</v>
      </c>
      <c r="O90" s="594"/>
      <c r="P90" s="594"/>
      <c r="Q90" s="595"/>
      <c r="R90" s="593">
        <v>44256</v>
      </c>
      <c r="S90" s="594"/>
      <c r="T90" s="594"/>
      <c r="U90" s="595"/>
      <c r="V90" s="593">
        <v>44287</v>
      </c>
      <c r="W90" s="594"/>
      <c r="X90" s="594"/>
      <c r="Y90" s="595"/>
      <c r="Z90" s="593">
        <v>44317</v>
      </c>
      <c r="AA90" s="594"/>
      <c r="AB90" s="594"/>
      <c r="AC90" s="595"/>
      <c r="AD90" s="496">
        <v>44348</v>
      </c>
      <c r="AE90" s="497"/>
      <c r="AF90" s="497"/>
      <c r="AG90" s="498"/>
      <c r="AH90" s="496">
        <v>44348</v>
      </c>
      <c r="AI90" s="497"/>
      <c r="AJ90" s="497"/>
      <c r="AK90" s="498"/>
      <c r="AL90" s="496">
        <v>44409</v>
      </c>
      <c r="AM90" s="497"/>
      <c r="AN90" s="497"/>
      <c r="AO90" s="498"/>
      <c r="AP90" s="496">
        <v>44440</v>
      </c>
      <c r="AQ90" s="497"/>
      <c r="AR90" s="497"/>
      <c r="AS90" s="498"/>
      <c r="AT90" s="496">
        <v>44470</v>
      </c>
      <c r="AU90" s="497"/>
      <c r="AV90" s="497"/>
      <c r="AW90" s="498"/>
    </row>
    <row r="91" spans="1:49" ht="15.75" thickBot="1" x14ac:dyDescent="0.3">
      <c r="A91" s="597"/>
      <c r="B91" s="496" t="s">
        <v>1095</v>
      </c>
      <c r="C91" s="497"/>
      <c r="D91" s="497"/>
      <c r="E91" s="498"/>
      <c r="F91" s="592" t="s">
        <v>1095</v>
      </c>
      <c r="G91" s="528"/>
      <c r="H91" s="528"/>
      <c r="I91" s="529"/>
      <c r="J91" s="592" t="s">
        <v>1095</v>
      </c>
      <c r="K91" s="528"/>
      <c r="L91" s="528"/>
      <c r="M91" s="529"/>
      <c r="N91" s="592" t="s">
        <v>1095</v>
      </c>
      <c r="O91" s="528"/>
      <c r="P91" s="528"/>
      <c r="Q91" s="529"/>
      <c r="R91" s="592" t="s">
        <v>1095</v>
      </c>
      <c r="S91" s="528"/>
      <c r="T91" s="528"/>
      <c r="U91" s="529"/>
      <c r="V91" s="592" t="s">
        <v>1095</v>
      </c>
      <c r="W91" s="528"/>
      <c r="X91" s="528"/>
      <c r="Y91" s="529"/>
      <c r="Z91" s="592" t="s">
        <v>1095</v>
      </c>
      <c r="AA91" s="528"/>
      <c r="AB91" s="528"/>
      <c r="AC91" s="529"/>
      <c r="AD91" s="496" t="s">
        <v>1095</v>
      </c>
      <c r="AE91" s="497"/>
      <c r="AF91" s="497"/>
      <c r="AG91" s="498"/>
      <c r="AH91" s="496" t="s">
        <v>1095</v>
      </c>
      <c r="AI91" s="497"/>
      <c r="AJ91" s="497"/>
      <c r="AK91" s="498"/>
      <c r="AL91" s="496" t="s">
        <v>1095</v>
      </c>
      <c r="AM91" s="497"/>
      <c r="AN91" s="497"/>
      <c r="AO91" s="498"/>
      <c r="AP91" s="496" t="s">
        <v>1095</v>
      </c>
      <c r="AQ91" s="497"/>
      <c r="AR91" s="497"/>
      <c r="AS91" s="498"/>
      <c r="AT91" s="496" t="s">
        <v>1095</v>
      </c>
      <c r="AU91" s="497"/>
      <c r="AV91" s="497"/>
      <c r="AW91" s="498"/>
    </row>
    <row r="92" spans="1:49" x14ac:dyDescent="0.25">
      <c r="A92" s="299" t="s">
        <v>386</v>
      </c>
      <c r="B92" s="590">
        <f>'[3]HVW275_DE LA RUBIA'!A32</f>
        <v>70673.533498999997</v>
      </c>
      <c r="C92" s="591"/>
      <c r="D92" s="313">
        <f>'[3]HVW275_DE LA RUBIA'!L29</f>
        <v>11270</v>
      </c>
      <c r="E92" s="301">
        <f t="shared" ref="E92:E97" si="42">B92/D92</f>
        <v>6.2709435225377108</v>
      </c>
      <c r="F92" s="545">
        <f>'[4]HVW275_DE LA RUBIA'!A23</f>
        <v>44641.482221999999</v>
      </c>
      <c r="G92" s="555"/>
      <c r="H92" s="313">
        <f>'[4]HVW275_DE LA RUBIA'!L20</f>
        <v>7810</v>
      </c>
      <c r="I92" s="301">
        <f t="shared" ref="I92:I97" si="43">F92/H92</f>
        <v>5.7159388248399488</v>
      </c>
      <c r="J92" s="545">
        <f>'[5]HVW275_DE LA RUBIA'!A25</f>
        <v>56940.036484000004</v>
      </c>
      <c r="K92" s="555"/>
      <c r="L92" s="313">
        <f>'[5]HVW275_DE LA RUBIA'!L22</f>
        <v>9084</v>
      </c>
      <c r="M92" s="301">
        <f t="shared" ref="M92:M97" si="44">J92/L92</f>
        <v>6.2681678207837965</v>
      </c>
      <c r="N92" s="545">
        <f>'[6]HVW275_DE LA RUBIA'!A28</f>
        <v>60914.737764000005</v>
      </c>
      <c r="O92" s="555"/>
      <c r="P92" s="313">
        <f>'[6]HVW275_DE LA RUBIA'!L25</f>
        <v>10002</v>
      </c>
      <c r="Q92" s="301">
        <f t="shared" ref="Q92:Q97" si="45">N92/P92</f>
        <v>6.0902557252549494</v>
      </c>
      <c r="R92" s="545">
        <f>'[7]HVW275_DE LA RUBIA'!A32</f>
        <v>90199.511340000012</v>
      </c>
      <c r="S92" s="555"/>
      <c r="T92" s="313">
        <f>'[7]HVW275_DE LA RUBIA'!L29</f>
        <v>13255</v>
      </c>
      <c r="U92" s="301">
        <f t="shared" ref="U92:U97" si="46">R92/T92</f>
        <v>6.8049423870237655</v>
      </c>
      <c r="V92" s="545">
        <f>'[8]HVW275_DE LA RUBIA'!A27</f>
        <v>90303.125995000009</v>
      </c>
      <c r="W92" s="555"/>
      <c r="X92" s="313">
        <f>'[8]HVW275_DE LA RUBIA'!L24</f>
        <v>11758</v>
      </c>
      <c r="Y92" s="301">
        <f t="shared" ref="Y92:Y97" si="47">V92/X92</f>
        <v>7.6801433913080466</v>
      </c>
      <c r="Z92" s="545">
        <f>'[9]HVW275_DE LA RUBIA'!A27</f>
        <v>88693.171902000002</v>
      </c>
      <c r="AA92" s="555"/>
      <c r="AB92" s="313">
        <f>'[9]HVW275_DE LA RUBIA'!L24</f>
        <v>11663</v>
      </c>
      <c r="AC92" s="301">
        <f t="shared" ref="AC92:AC97" si="48">Z92/AB92</f>
        <v>7.6046619139158027</v>
      </c>
      <c r="AD92" s="545">
        <f>'[10]HVW275_DE LA RUBIA'!A26</f>
        <v>78404.625144000005</v>
      </c>
      <c r="AE92" s="555"/>
      <c r="AF92" s="313">
        <f>'[10]HVW275_DE LA RUBIA'!L23</f>
        <v>11344</v>
      </c>
      <c r="AG92" s="301">
        <f t="shared" ref="AG92:AG97" si="49">AD92/AF92</f>
        <v>6.9115501713681242</v>
      </c>
      <c r="AH92" s="545">
        <f>'[11]HVW275_DE LA RUBIA'!A25</f>
        <v>66286.242683999997</v>
      </c>
      <c r="AI92" s="555"/>
      <c r="AJ92" s="313">
        <f>'[11]HVW275_DE LA RUBIA'!L22</f>
        <v>9744</v>
      </c>
      <c r="AK92" s="301">
        <f t="shared" ref="AK92:AK97" si="50">AH92/AJ92</f>
        <v>6.8027753165024629</v>
      </c>
      <c r="AL92" s="545">
        <f>'[1]HVW275_DE LA RUBIA'!A27</f>
        <v>98837.098991999985</v>
      </c>
      <c r="AM92" s="555"/>
      <c r="AN92" s="313">
        <f>'[1]HVW275_DE LA RUBIA'!L24</f>
        <v>10733</v>
      </c>
      <c r="AO92" s="301">
        <f t="shared" ref="AO92:AO97" si="51">AL92/AN92</f>
        <v>9.208711356750209</v>
      </c>
      <c r="AP92" s="545">
        <f>'[2]HVW275_DE LA RUBIA'!A22</f>
        <v>73260.933725099996</v>
      </c>
      <c r="AQ92" s="555"/>
      <c r="AR92" s="313">
        <f>'[2]HVW275_DE LA RUBIA'!L19</f>
        <v>9762</v>
      </c>
      <c r="AS92" s="301">
        <f t="shared" ref="AS92:AS97" si="52">AP92/AR92</f>
        <v>7.5047053600799014</v>
      </c>
      <c r="AT92" s="545">
        <f>'HVW275_DE LA RUBIA'!A27</f>
        <v>110362.57597799999</v>
      </c>
      <c r="AU92" s="555"/>
      <c r="AV92" s="313">
        <f>'HVW275_DE LA RUBIA'!L24</f>
        <v>12022</v>
      </c>
      <c r="AW92" s="301">
        <f t="shared" ref="AW92:AW97" si="53">AT92/AV92</f>
        <v>9.1800512375644647</v>
      </c>
    </row>
    <row r="93" spans="1:49" x14ac:dyDescent="0.25">
      <c r="A93" s="302" t="s">
        <v>387</v>
      </c>
      <c r="B93" s="584">
        <f>'[3]HZG214_DE LA RUBIA'!A25</f>
        <v>58560.646593000005</v>
      </c>
      <c r="C93" s="589"/>
      <c r="D93" s="313">
        <f>'[3]HZG214_DE LA RUBIA'!L22</f>
        <v>8580</v>
      </c>
      <c r="E93" s="301">
        <f t="shared" si="42"/>
        <v>6.8252501856643359</v>
      </c>
      <c r="F93" s="545">
        <f>'[4]HZG214_DE LA RUBIA'!A20</f>
        <v>43614.415816000008</v>
      </c>
      <c r="G93" s="555"/>
      <c r="H93" s="313">
        <f>'[4]HZG214_DE LA RUBIA'!L17</f>
        <v>7969</v>
      </c>
      <c r="I93" s="301">
        <f t="shared" si="43"/>
        <v>5.4730098903250104</v>
      </c>
      <c r="J93" s="545">
        <f>'[5]HZG214_DE LA RUBIA'!A24</f>
        <v>47313.112980999998</v>
      </c>
      <c r="K93" s="555"/>
      <c r="L93" s="313">
        <f>'[5]HZG214_DE LA RUBIA'!L21</f>
        <v>8524</v>
      </c>
      <c r="M93" s="301">
        <f t="shared" si="44"/>
        <v>5.5505763703660254</v>
      </c>
      <c r="N93" s="545">
        <f>'[6]HZG214_DE LA RUBIA'!A24</f>
        <v>49822.066303</v>
      </c>
      <c r="O93" s="555"/>
      <c r="P93" s="313">
        <f>'[6]HZG214_DE LA RUBIA'!L21</f>
        <v>6976</v>
      </c>
      <c r="Q93" s="301">
        <f t="shared" si="45"/>
        <v>7.1419246420584859</v>
      </c>
      <c r="R93" s="545">
        <f>'[7]HZG214_DE LA RUBIA'!A14</f>
        <v>30497.794495000002</v>
      </c>
      <c r="S93" s="555"/>
      <c r="T93" s="313">
        <f>'[7]HZG214_DE LA RUBIA'!L11</f>
        <v>4375</v>
      </c>
      <c r="U93" s="301">
        <f t="shared" si="46"/>
        <v>6.9709244560000005</v>
      </c>
      <c r="V93" s="545">
        <f>'[8]HZG214_DE LA RUBIA'!A30</f>
        <v>91772.197318000006</v>
      </c>
      <c r="W93" s="555"/>
      <c r="X93" s="313">
        <f>'[8]HZG214_DE LA RUBIA'!L27</f>
        <v>12660</v>
      </c>
      <c r="Y93" s="301">
        <f t="shared" si="47"/>
        <v>7.2489887296998425</v>
      </c>
      <c r="Z93" s="545">
        <f>'[9]HZG214_DE LA RUBIA'!A21</f>
        <v>45827.839173</v>
      </c>
      <c r="AA93" s="555"/>
      <c r="AB93" s="313">
        <f>'[9]HZG214_DE LA RUBIA'!L18</f>
        <v>7040</v>
      </c>
      <c r="AC93" s="301">
        <f t="shared" si="48"/>
        <v>6.5096362461647725</v>
      </c>
      <c r="AD93" s="545">
        <f>'[10]HZG214_DE LA RUBIA'!A25</f>
        <v>79189.843542000002</v>
      </c>
      <c r="AE93" s="555"/>
      <c r="AF93" s="313">
        <f>'[10]HZG214_DE LA RUBIA'!L22</f>
        <v>9960</v>
      </c>
      <c r="AG93" s="301">
        <f t="shared" si="49"/>
        <v>7.9507875042168674</v>
      </c>
      <c r="AH93" s="545">
        <f>'[11]HZG214_DE LA RUBIA'!A25</f>
        <v>77249.079441000009</v>
      </c>
      <c r="AI93" s="555"/>
      <c r="AJ93" s="313">
        <f>'[11]HZG214_DE LA RUBIA'!L22</f>
        <v>11012</v>
      </c>
      <c r="AK93" s="301">
        <f t="shared" si="50"/>
        <v>7.014990868234654</v>
      </c>
      <c r="AL93" s="545">
        <f>'[1]HZG214_DE LA RUBIA'!A30</f>
        <v>96261.538339000006</v>
      </c>
      <c r="AM93" s="555"/>
      <c r="AN93" s="313">
        <f>'[1]HZG214_DE LA RUBIA'!L27</f>
        <v>9325</v>
      </c>
      <c r="AO93" s="301">
        <f t="shared" si="51"/>
        <v>10.322953173083111</v>
      </c>
      <c r="AP93" s="545">
        <f>'[2]HZG214_DE LA RUBIA'!A26</f>
        <v>98806.476796999996</v>
      </c>
      <c r="AQ93" s="555"/>
      <c r="AR93" s="313">
        <f>'[2]HZG214_DE LA RUBIA'!L23</f>
        <v>10915</v>
      </c>
      <c r="AS93" s="301">
        <f t="shared" si="52"/>
        <v>9.0523570130096189</v>
      </c>
      <c r="AT93" s="545">
        <f>'HZG214_DE LA RUBIA'!A26</f>
        <v>107050.734796</v>
      </c>
      <c r="AU93" s="555"/>
      <c r="AV93" s="313">
        <f>'HZG214_DE LA RUBIA'!L23</f>
        <v>12628</v>
      </c>
      <c r="AW93" s="301">
        <f t="shared" si="53"/>
        <v>8.4772517260057025</v>
      </c>
    </row>
    <row r="94" spans="1:49" x14ac:dyDescent="0.25">
      <c r="A94" s="302" t="s">
        <v>384</v>
      </c>
      <c r="B94" s="584">
        <f>[3]IIJ763_POPULIN!A24</f>
        <v>48604.082999999999</v>
      </c>
      <c r="C94" s="589"/>
      <c r="D94" s="313">
        <f>[3]IIJ763_POPULIN!L21</f>
        <v>8413</v>
      </c>
      <c r="E94" s="301">
        <f t="shared" si="42"/>
        <v>5.777259360513491</v>
      </c>
      <c r="F94" s="545">
        <f>[4]IIJ763_POPULIN!A17</f>
        <v>25503.245000000003</v>
      </c>
      <c r="G94" s="555"/>
      <c r="H94" s="313">
        <f>[4]IIJ763_POPULIN!L14</f>
        <v>4504</v>
      </c>
      <c r="I94" s="301">
        <f t="shared" si="43"/>
        <v>5.662354573712256</v>
      </c>
      <c r="J94" s="545">
        <f>[5]IIJ763_POPULIN!A18</f>
        <v>36400.678</v>
      </c>
      <c r="K94" s="555"/>
      <c r="L94" s="313">
        <f>[5]IIJ763_POPULIN!L15</f>
        <v>5289</v>
      </c>
      <c r="M94" s="301">
        <f t="shared" si="44"/>
        <v>6.8823365475515219</v>
      </c>
      <c r="N94" s="545">
        <f>[6]IIJ763_POPULIN!A16</f>
        <v>60914.737764000005</v>
      </c>
      <c r="O94" s="555"/>
      <c r="P94" s="313">
        <f>[6]IIJ763_POPULIN!L13</f>
        <v>4667</v>
      </c>
      <c r="Q94" s="301">
        <f t="shared" si="45"/>
        <v>13.052225790443542</v>
      </c>
      <c r="R94" s="545">
        <f>[7]IIJ763_POPULIN!A18</f>
        <v>42898.425999999999</v>
      </c>
      <c r="S94" s="555"/>
      <c r="T94" s="313">
        <f>[7]IIJ763_POPULIN!L15</f>
        <v>6385</v>
      </c>
      <c r="U94" s="301">
        <f t="shared" si="46"/>
        <v>6.7186258418167579</v>
      </c>
      <c r="V94" s="545">
        <f>[8]IIJ763_POPULIN!A17</f>
        <v>45195.546999999999</v>
      </c>
      <c r="W94" s="555"/>
      <c r="X94" s="313">
        <f>[8]IIJ763_POPULIN!L14</f>
        <v>6538</v>
      </c>
      <c r="Y94" s="301">
        <f t="shared" si="47"/>
        <v>6.9127480881003365</v>
      </c>
      <c r="Z94" s="545">
        <f>[9]IIJ763_POPULIN!A25</f>
        <v>68949.931000000011</v>
      </c>
      <c r="AA94" s="555"/>
      <c r="AB94" s="313">
        <f>[9]IIJ763_POPULIN!L22</f>
        <v>8181</v>
      </c>
      <c r="AC94" s="301">
        <f t="shared" si="48"/>
        <v>8.4280565945483445</v>
      </c>
      <c r="AD94" s="545">
        <f>[10]IIJ763_POPULIN!A18</f>
        <v>57280.362999999998</v>
      </c>
      <c r="AE94" s="555"/>
      <c r="AF94" s="313">
        <f>[10]IIJ763_POPULIN!L15</f>
        <v>7483</v>
      </c>
      <c r="AG94" s="301">
        <f t="shared" si="49"/>
        <v>7.6547324602432179</v>
      </c>
      <c r="AH94" s="545">
        <f>[11]IIJ763_POPULIN!A17</f>
        <v>41459.188000000002</v>
      </c>
      <c r="AI94" s="555"/>
      <c r="AJ94" s="313">
        <f>[11]IIJ763_POPULIN!L14</f>
        <v>5583</v>
      </c>
      <c r="AK94" s="301">
        <f t="shared" si="50"/>
        <v>7.4259695504209207</v>
      </c>
      <c r="AL94" s="545">
        <f>[1]IIJ763_POPULIN!A20</f>
        <v>85837.524999999994</v>
      </c>
      <c r="AM94" s="555"/>
      <c r="AN94" s="313">
        <f>[1]IIJ763_POPULIN!L17</f>
        <v>9146</v>
      </c>
      <c r="AO94" s="301">
        <f t="shared" si="51"/>
        <v>9.3852531161163348</v>
      </c>
      <c r="AP94" s="545">
        <f>[2]IIJ763_POPULIN!A25</f>
        <v>100983.52800000001</v>
      </c>
      <c r="AQ94" s="555"/>
      <c r="AR94" s="313">
        <f>[2]IIJ763_POPULIN!L22</f>
        <v>10745</v>
      </c>
      <c r="AS94" s="301">
        <f t="shared" si="52"/>
        <v>9.3981878082829233</v>
      </c>
      <c r="AT94" s="545">
        <f>IIJ763_POPULIN!A20</f>
        <v>68902.709000000003</v>
      </c>
      <c r="AU94" s="555"/>
      <c r="AV94" s="313">
        <f>IIJ763_POPULIN!L17</f>
        <v>8175</v>
      </c>
      <c r="AW94" s="301">
        <f t="shared" si="53"/>
        <v>8.4284659327217124</v>
      </c>
    </row>
    <row r="95" spans="1:49" x14ac:dyDescent="0.25">
      <c r="A95" s="302" t="s">
        <v>388</v>
      </c>
      <c r="B95" s="584">
        <f>[3]AB687SH_TURCHETTI!A26</f>
        <v>59094.022524</v>
      </c>
      <c r="C95" s="589"/>
      <c r="D95" s="313">
        <f>[3]AB687SH_TURCHETTI!L23</f>
        <v>10056</v>
      </c>
      <c r="E95" s="301">
        <f t="shared" si="42"/>
        <v>5.8764938866348446</v>
      </c>
      <c r="F95" s="545">
        <f>[4]AB687SH_TURCHETTI!A20</f>
        <v>30198.879366000001</v>
      </c>
      <c r="G95" s="555"/>
      <c r="H95" s="313">
        <f>[4]AB687SH_TURCHETTI!L17</f>
        <v>6356</v>
      </c>
      <c r="I95" s="301">
        <f t="shared" si="43"/>
        <v>4.7512396736941476</v>
      </c>
      <c r="J95" s="545">
        <f>[5]AB687SH_TURCHETTI!A22</f>
        <v>41041.550100000008</v>
      </c>
      <c r="K95" s="555"/>
      <c r="L95" s="313">
        <f>[5]AB687SH_TURCHETTI!L19</f>
        <v>7327</v>
      </c>
      <c r="M95" s="301">
        <f t="shared" si="44"/>
        <v>5.6014125972430744</v>
      </c>
      <c r="N95" s="545">
        <f>[6]AB687SH_TURCHETTI!A25</f>
        <v>61505.811951000003</v>
      </c>
      <c r="O95" s="555"/>
      <c r="P95" s="313">
        <f>[6]AB687SH_TURCHETTI!L22</f>
        <v>10010</v>
      </c>
      <c r="Q95" s="301">
        <f t="shared" si="45"/>
        <v>6.1444367583416586</v>
      </c>
      <c r="R95" s="545">
        <f>[7]AB687SH_TURCHETTI!A29</f>
        <v>68714.363055000009</v>
      </c>
      <c r="S95" s="555"/>
      <c r="T95" s="313">
        <f>[7]AB687SH_TURCHETTI!L26</f>
        <v>11746</v>
      </c>
      <c r="U95" s="301">
        <f t="shared" si="46"/>
        <v>5.8500223952835011</v>
      </c>
      <c r="V95" s="545">
        <f>[8]AB687SH_TURCHETTI!A24</f>
        <v>67183.696960000001</v>
      </c>
      <c r="W95" s="555"/>
      <c r="X95" s="313">
        <f>[8]AB687SH_TURCHETTI!L21</f>
        <v>9546</v>
      </c>
      <c r="Y95" s="301">
        <f t="shared" si="47"/>
        <v>7.0378898973392001</v>
      </c>
      <c r="Z95" s="545">
        <f>[9]AB687SH_TURCHETTI!A19</f>
        <v>48557.195682000005</v>
      </c>
      <c r="AA95" s="555"/>
      <c r="AB95" s="313">
        <f>[9]AB687SH_TURCHETTI!L16</f>
        <v>7281</v>
      </c>
      <c r="AC95" s="301">
        <f t="shared" si="48"/>
        <v>6.6690283864853734</v>
      </c>
      <c r="AD95" s="545">
        <f>[10]AB687SH_TURCHETTI!A23</f>
        <v>53644.111343999997</v>
      </c>
      <c r="AE95" s="555"/>
      <c r="AF95" s="313">
        <f>[10]AB687SH_TURCHETTI!L20</f>
        <v>8173</v>
      </c>
      <c r="AG95" s="301">
        <f t="shared" si="49"/>
        <v>6.5635765745748191</v>
      </c>
      <c r="AH95" s="545">
        <f>[11]AB687SH_TURCHETTI!A19</f>
        <v>61353.038626000001</v>
      </c>
      <c r="AI95" s="555"/>
      <c r="AJ95" s="313">
        <f>[11]AB687SH_TURCHETTI!L16</f>
        <v>7123</v>
      </c>
      <c r="AK95" s="301">
        <f t="shared" si="50"/>
        <v>8.613370577846414</v>
      </c>
      <c r="AL95" s="545">
        <f>[1]AB687SH_TURCHETTI!A25</f>
        <v>80569.366145999986</v>
      </c>
      <c r="AM95" s="555"/>
      <c r="AN95" s="313">
        <f>[1]AB687SH_TURCHETTI!L22</f>
        <v>10962</v>
      </c>
      <c r="AO95" s="301">
        <f t="shared" si="51"/>
        <v>7.3498783201970435</v>
      </c>
      <c r="AP95" s="545">
        <f>[2]AB687SH_TURCHETTI!A26</f>
        <v>74094.821042999989</v>
      </c>
      <c r="AQ95" s="555"/>
      <c r="AR95" s="313">
        <f>[2]AB687SH_TURCHETTI!L23</f>
        <v>9772</v>
      </c>
      <c r="AS95" s="301">
        <f t="shared" si="52"/>
        <v>7.5823599102537855</v>
      </c>
      <c r="AT95" s="545">
        <f>AB687SH_TURCHETTI!A29</f>
        <v>84591.419672000004</v>
      </c>
      <c r="AU95" s="555"/>
      <c r="AV95" s="313">
        <f>AB687SH_TURCHETTI!L26</f>
        <v>10935</v>
      </c>
      <c r="AW95" s="301">
        <f t="shared" si="53"/>
        <v>7.7358408479195244</v>
      </c>
    </row>
    <row r="96" spans="1:49" ht="15.75" thickBot="1" x14ac:dyDescent="0.3">
      <c r="A96" s="303" t="s">
        <v>389</v>
      </c>
      <c r="B96" s="587">
        <f>[3]AC136AZ_TURCHETTI!A23</f>
        <v>46871.047292999996</v>
      </c>
      <c r="C96" s="588"/>
      <c r="D96" s="313">
        <f>[3]AC136AZ_TURCHETTI!L20</f>
        <v>9216</v>
      </c>
      <c r="E96" s="301">
        <f t="shared" si="42"/>
        <v>5.0858341246744789</v>
      </c>
      <c r="F96" s="545">
        <f>[4]AC136AZ_TURCHETTI!A24</f>
        <v>45696.038288999989</v>
      </c>
      <c r="G96" s="555"/>
      <c r="H96" s="313">
        <f>[4]AC136AZ_TURCHETTI!L21</f>
        <v>8652</v>
      </c>
      <c r="I96" s="301">
        <f t="shared" si="43"/>
        <v>5.2815578235090141</v>
      </c>
      <c r="J96" s="545">
        <f>[5]AC136AZ_TURCHETTI!A22</f>
        <v>45852.324185999998</v>
      </c>
      <c r="K96" s="555"/>
      <c r="L96" s="313">
        <f>[5]AC136AZ_TURCHETTI!L19</f>
        <v>8404</v>
      </c>
      <c r="M96" s="301">
        <f t="shared" si="44"/>
        <v>5.4560119212279865</v>
      </c>
      <c r="N96" s="545">
        <f>[6]AC136AZ_TURCHETTI!A25</f>
        <v>73663.747986000002</v>
      </c>
      <c r="O96" s="555"/>
      <c r="P96" s="313">
        <f>[6]AC136AZ_TURCHETTI!L22</f>
        <v>12193</v>
      </c>
      <c r="Q96" s="301">
        <f t="shared" si="45"/>
        <v>6.0414785521200693</v>
      </c>
      <c r="R96" s="545">
        <f>[7]AC136AZ_TURCHETTI!A33</f>
        <v>77866.015439999988</v>
      </c>
      <c r="S96" s="555"/>
      <c r="T96" s="313">
        <f>[7]AC136AZ_TURCHETTI!L30</f>
        <v>13310</v>
      </c>
      <c r="U96" s="301">
        <f t="shared" si="46"/>
        <v>5.8501889887302774</v>
      </c>
      <c r="V96" s="545">
        <f>[8]AC136AZ_TURCHETTI!A26</f>
        <v>62342.677022000003</v>
      </c>
      <c r="W96" s="555"/>
      <c r="X96" s="313">
        <f>[8]AC136AZ_TURCHETTI!L23</f>
        <v>9670</v>
      </c>
      <c r="Y96" s="301">
        <f t="shared" si="47"/>
        <v>6.4470193404343332</v>
      </c>
      <c r="Z96" s="545">
        <f>[9]AC136AZ_TURCHETTI!A22</f>
        <v>61871.012381999994</v>
      </c>
      <c r="AA96" s="555"/>
      <c r="AB96" s="313">
        <f>[9]AC136AZ_TURCHETTI!L19</f>
        <v>9034</v>
      </c>
      <c r="AC96" s="301">
        <f t="shared" si="48"/>
        <v>6.848684124640247</v>
      </c>
      <c r="AD96" s="545">
        <f>[10]AC136AZ_TURCHETTI!A25</f>
        <v>63183.006311999998</v>
      </c>
      <c r="AE96" s="555"/>
      <c r="AF96" s="313">
        <f>[10]AC136AZ_TURCHETTI!L22</f>
        <v>10334</v>
      </c>
      <c r="AG96" s="301">
        <f t="shared" si="49"/>
        <v>6.114090024385523</v>
      </c>
      <c r="AH96" s="545">
        <f>[11]AC136AZ_TURCHETTI!A11</f>
        <v>19909.63221</v>
      </c>
      <c r="AI96" s="555"/>
      <c r="AJ96" s="313">
        <f>[11]AC136AZ_TURCHETTI!L8</f>
        <v>2662</v>
      </c>
      <c r="AK96" s="301">
        <f t="shared" si="50"/>
        <v>7.4792006799398951</v>
      </c>
      <c r="AL96" s="545">
        <f>[1]AC136AZ_TURCHETTI!A25</f>
        <v>82787.732188000009</v>
      </c>
      <c r="AM96" s="555"/>
      <c r="AN96" s="313">
        <f>[1]AC136AZ_TURCHETTI!L22</f>
        <v>11518</v>
      </c>
      <c r="AO96" s="301">
        <f t="shared" si="51"/>
        <v>7.1876829473866994</v>
      </c>
      <c r="AP96" s="545">
        <f>[2]AC136AZ_TURCHETTI!A27</f>
        <v>82811.128163999994</v>
      </c>
      <c r="AQ96" s="555"/>
      <c r="AR96" s="313">
        <f>[2]AC136AZ_TURCHETTI!L24</f>
        <v>11095</v>
      </c>
      <c r="AS96" s="301">
        <f t="shared" si="52"/>
        <v>7.4638240796755291</v>
      </c>
      <c r="AT96" s="545">
        <f>AC136AZ_TURCHETTI!A25</f>
        <v>81311.649749999997</v>
      </c>
      <c r="AU96" s="555"/>
      <c r="AV96" s="313">
        <f>AC136AZ_TURCHETTI!L22</f>
        <v>11157</v>
      </c>
      <c r="AW96" s="301">
        <f t="shared" si="53"/>
        <v>7.287949247109438</v>
      </c>
    </row>
    <row r="97" spans="1:49" ht="15.75" thickBot="1" x14ac:dyDescent="0.3">
      <c r="A97" s="296" t="s">
        <v>1093</v>
      </c>
      <c r="B97" s="547">
        <f>SUM(B92:C96)</f>
        <v>283803.33290899999</v>
      </c>
      <c r="C97" s="549"/>
      <c r="D97" s="556">
        <f>SUM(D92:D96)</f>
        <v>47535</v>
      </c>
      <c r="E97" s="550">
        <f t="shared" si="42"/>
        <v>5.970407760786788</v>
      </c>
      <c r="F97" s="547">
        <f>SUM(F92:G96)</f>
        <v>189654.06069300001</v>
      </c>
      <c r="G97" s="549"/>
      <c r="H97" s="556">
        <f>SUM(H92:H96)</f>
        <v>35291</v>
      </c>
      <c r="I97" s="550">
        <f t="shared" si="43"/>
        <v>5.3740064235357456</v>
      </c>
      <c r="J97" s="547">
        <f>SUM(J92:K96)</f>
        <v>227547.70175099996</v>
      </c>
      <c r="K97" s="549"/>
      <c r="L97" s="556">
        <f>SUM(L92:L96)</f>
        <v>38628</v>
      </c>
      <c r="M97" s="550">
        <f t="shared" si="44"/>
        <v>5.8907451007300393</v>
      </c>
      <c r="N97" s="547">
        <f>SUM(N92:O96)</f>
        <v>306821.10176800005</v>
      </c>
      <c r="O97" s="549"/>
      <c r="P97" s="556">
        <f>SUM(P92:P96)</f>
        <v>43848</v>
      </c>
      <c r="Q97" s="550">
        <f t="shared" si="45"/>
        <v>6.9973796243386257</v>
      </c>
      <c r="R97" s="547">
        <f>SUM(R92:S96)</f>
        <v>310176.11033</v>
      </c>
      <c r="S97" s="549"/>
      <c r="T97" s="556">
        <f>SUM(T92:T96)</f>
        <v>49071</v>
      </c>
      <c r="U97" s="550">
        <f t="shared" si="46"/>
        <v>6.3209657502394485</v>
      </c>
      <c r="V97" s="547">
        <f>SUM(V92:W96)</f>
        <v>356797.24429500004</v>
      </c>
      <c r="W97" s="549"/>
      <c r="X97" s="556">
        <f>SUM(X92:X96)</f>
        <v>50172</v>
      </c>
      <c r="Y97" s="550">
        <f t="shared" si="47"/>
        <v>7.1114813899186808</v>
      </c>
      <c r="Z97" s="547">
        <f>SUM(Z92:AA96)</f>
        <v>313899.15013899998</v>
      </c>
      <c r="AA97" s="549"/>
      <c r="AB97" s="556">
        <f>SUM(AB92:AB96)</f>
        <v>43199</v>
      </c>
      <c r="AC97" s="550">
        <f t="shared" si="48"/>
        <v>7.2663522335933699</v>
      </c>
      <c r="AD97" s="547">
        <f>SUM(AD92:AE96)</f>
        <v>331701.94934199995</v>
      </c>
      <c r="AE97" s="549"/>
      <c r="AF97" s="556">
        <f>SUM(AF92:AF96)</f>
        <v>47294</v>
      </c>
      <c r="AG97" s="550">
        <f t="shared" si="49"/>
        <v>7.0136158781663624</v>
      </c>
      <c r="AH97" s="547">
        <f>SUM(AH92:AI96)</f>
        <v>266257.18096099998</v>
      </c>
      <c r="AI97" s="549"/>
      <c r="AJ97" s="556">
        <f>SUM(AJ92:AJ96)</f>
        <v>36124</v>
      </c>
      <c r="AK97" s="550">
        <f t="shared" si="50"/>
        <v>7.3706450271564607</v>
      </c>
      <c r="AL97" s="547">
        <f>SUM(AL92:AM96)</f>
        <v>444293.26066499995</v>
      </c>
      <c r="AM97" s="549"/>
      <c r="AN97" s="556">
        <f>SUM(AN92:AN96)</f>
        <v>51684</v>
      </c>
      <c r="AO97" s="550">
        <f t="shared" si="51"/>
        <v>8.5963404663919185</v>
      </c>
      <c r="AP97" s="547">
        <f>SUM(AP92:AQ96)</f>
        <v>429956.88772909995</v>
      </c>
      <c r="AQ97" s="549"/>
      <c r="AR97" s="556">
        <f>SUM(AR92:AR96)</f>
        <v>52289</v>
      </c>
      <c r="AS97" s="550">
        <f t="shared" si="52"/>
        <v>8.2227024370154318</v>
      </c>
      <c r="AT97" s="547">
        <f>SUM(AT92:AU96)</f>
        <v>452219.08919600002</v>
      </c>
      <c r="AU97" s="549"/>
      <c r="AV97" s="556">
        <f>SUM(AV92:AV96)</f>
        <v>54917</v>
      </c>
      <c r="AW97" s="550">
        <f t="shared" si="53"/>
        <v>8.2345920060454869</v>
      </c>
    </row>
    <row r="98" spans="1:49" ht="15.75" thickBot="1" x14ac:dyDescent="0.3">
      <c r="A98" s="296" t="s">
        <v>1096</v>
      </c>
      <c r="B98" s="547">
        <v>-10748.85</v>
      </c>
      <c r="C98" s="549"/>
      <c r="D98" s="557"/>
      <c r="E98" s="551"/>
      <c r="F98" s="547">
        <f>F97-B97</f>
        <v>-94149.272215999983</v>
      </c>
      <c r="G98" s="549"/>
      <c r="H98" s="557"/>
      <c r="I98" s="551"/>
      <c r="J98" s="547">
        <f>J97-F97</f>
        <v>37893.64105799995</v>
      </c>
      <c r="K98" s="549"/>
      <c r="L98" s="557"/>
      <c r="M98" s="551"/>
      <c r="N98" s="547">
        <f>N97-J97</f>
        <v>79273.400017000095</v>
      </c>
      <c r="O98" s="549"/>
      <c r="P98" s="557"/>
      <c r="Q98" s="551"/>
      <c r="R98" s="547">
        <f>R97-N97</f>
        <v>3355.0085619999445</v>
      </c>
      <c r="S98" s="549"/>
      <c r="T98" s="557"/>
      <c r="U98" s="551"/>
      <c r="V98" s="547">
        <f>V97-R97</f>
        <v>46621.133965000045</v>
      </c>
      <c r="W98" s="549"/>
      <c r="X98" s="557"/>
      <c r="Y98" s="551"/>
      <c r="Z98" s="547">
        <f>Z97-V97</f>
        <v>-42898.094156000065</v>
      </c>
      <c r="AA98" s="549"/>
      <c r="AB98" s="557"/>
      <c r="AC98" s="551"/>
      <c r="AD98" s="547">
        <f>AD97-Z97</f>
        <v>17802.799202999973</v>
      </c>
      <c r="AE98" s="549"/>
      <c r="AF98" s="557"/>
      <c r="AG98" s="551"/>
      <c r="AH98" s="547">
        <f>AH97-AD97</f>
        <v>-65444.768380999973</v>
      </c>
      <c r="AI98" s="549"/>
      <c r="AJ98" s="557"/>
      <c r="AK98" s="551"/>
      <c r="AL98" s="547">
        <f>AL97-AH97</f>
        <v>178036.07970399997</v>
      </c>
      <c r="AM98" s="549"/>
      <c r="AN98" s="557"/>
      <c r="AO98" s="551"/>
      <c r="AP98" s="547">
        <f>AP97-AL97</f>
        <v>-14336.372935899999</v>
      </c>
      <c r="AQ98" s="549"/>
      <c r="AR98" s="557"/>
      <c r="AS98" s="551"/>
      <c r="AT98" s="547">
        <f>AT97-AP97</f>
        <v>22262.201466900064</v>
      </c>
      <c r="AU98" s="549"/>
      <c r="AV98" s="557"/>
      <c r="AW98" s="551"/>
    </row>
    <row r="99" spans="1:49" ht="15.75" thickBot="1" x14ac:dyDescent="0.3"/>
    <row r="100" spans="1:49" ht="15.75" thickBot="1" x14ac:dyDescent="0.3">
      <c r="A100" s="494" t="s">
        <v>513</v>
      </c>
      <c r="B100" s="496">
        <v>44136</v>
      </c>
      <c r="C100" s="497"/>
      <c r="D100" s="497"/>
      <c r="E100" s="498"/>
      <c r="F100" s="552">
        <v>44166</v>
      </c>
      <c r="G100" s="553"/>
      <c r="H100" s="553"/>
      <c r="I100" s="554"/>
      <c r="J100" s="552">
        <v>44197</v>
      </c>
      <c r="K100" s="553"/>
      <c r="L100" s="553"/>
      <c r="M100" s="554"/>
      <c r="N100" s="552">
        <v>44228</v>
      </c>
      <c r="O100" s="553"/>
      <c r="P100" s="553"/>
      <c r="Q100" s="554"/>
      <c r="R100" s="552">
        <v>44256</v>
      </c>
      <c r="S100" s="553"/>
      <c r="T100" s="553"/>
      <c r="U100" s="554"/>
      <c r="V100" s="552">
        <v>44287</v>
      </c>
      <c r="W100" s="553"/>
      <c r="X100" s="553"/>
      <c r="Y100" s="554"/>
      <c r="Z100" s="552">
        <v>44317</v>
      </c>
      <c r="AA100" s="553"/>
      <c r="AB100" s="553"/>
      <c r="AC100" s="554"/>
      <c r="AD100" s="552">
        <v>44348</v>
      </c>
      <c r="AE100" s="553"/>
      <c r="AF100" s="553"/>
      <c r="AG100" s="554"/>
      <c r="AH100" s="552">
        <v>44378</v>
      </c>
      <c r="AI100" s="553"/>
      <c r="AJ100" s="553"/>
      <c r="AK100" s="554"/>
      <c r="AL100" s="552">
        <v>44409</v>
      </c>
      <c r="AM100" s="553"/>
      <c r="AN100" s="553"/>
      <c r="AO100" s="554"/>
      <c r="AP100" s="552">
        <v>44440</v>
      </c>
      <c r="AQ100" s="553"/>
      <c r="AR100" s="553"/>
      <c r="AS100" s="554"/>
      <c r="AT100" s="552">
        <v>44470</v>
      </c>
      <c r="AU100" s="553"/>
      <c r="AV100" s="553"/>
      <c r="AW100" s="554"/>
    </row>
    <row r="101" spans="1:49" ht="15.75" thickBot="1" x14ac:dyDescent="0.3">
      <c r="A101" s="493"/>
      <c r="B101" s="496" t="s">
        <v>340</v>
      </c>
      <c r="C101" s="497"/>
      <c r="D101" s="497"/>
      <c r="E101" s="498"/>
      <c r="F101" s="527" t="s">
        <v>340</v>
      </c>
      <c r="G101" s="528"/>
      <c r="H101" s="528"/>
      <c r="I101" s="529"/>
      <c r="J101" s="527" t="s">
        <v>340</v>
      </c>
      <c r="K101" s="528"/>
      <c r="L101" s="528"/>
      <c r="M101" s="529"/>
      <c r="N101" s="527" t="s">
        <v>340</v>
      </c>
      <c r="O101" s="528"/>
      <c r="P101" s="528"/>
      <c r="Q101" s="529"/>
      <c r="R101" s="527" t="s">
        <v>340</v>
      </c>
      <c r="S101" s="528"/>
      <c r="T101" s="528"/>
      <c r="U101" s="529"/>
      <c r="V101" s="527" t="s">
        <v>340</v>
      </c>
      <c r="W101" s="528"/>
      <c r="X101" s="528"/>
      <c r="Y101" s="529"/>
      <c r="Z101" s="527" t="s">
        <v>340</v>
      </c>
      <c r="AA101" s="528"/>
      <c r="AB101" s="528"/>
      <c r="AC101" s="529"/>
      <c r="AD101" s="527" t="s">
        <v>340</v>
      </c>
      <c r="AE101" s="528"/>
      <c r="AF101" s="528"/>
      <c r="AG101" s="529"/>
      <c r="AH101" s="527" t="s">
        <v>340</v>
      </c>
      <c r="AI101" s="528"/>
      <c r="AJ101" s="528"/>
      <c r="AK101" s="529"/>
      <c r="AL101" s="527" t="s">
        <v>340</v>
      </c>
      <c r="AM101" s="528"/>
      <c r="AN101" s="528"/>
      <c r="AO101" s="529"/>
      <c r="AP101" s="527" t="s">
        <v>340</v>
      </c>
      <c r="AQ101" s="528"/>
      <c r="AR101" s="528"/>
      <c r="AS101" s="529"/>
      <c r="AT101" s="527" t="s">
        <v>340</v>
      </c>
      <c r="AU101" s="528"/>
      <c r="AV101" s="528"/>
      <c r="AW101" s="529"/>
    </row>
    <row r="102" spans="1:49" x14ac:dyDescent="0.25">
      <c r="A102" s="299" t="s">
        <v>440</v>
      </c>
      <c r="B102" s="585"/>
      <c r="C102" s="585"/>
      <c r="D102" s="585"/>
      <c r="E102" s="586"/>
      <c r="F102" s="545">
        <f>'[4]UNIDADES SIN USO'!B9</f>
        <v>-2273.7317527605574</v>
      </c>
      <c r="G102" s="545"/>
      <c r="H102" s="545"/>
      <c r="I102" s="546"/>
      <c r="J102" s="545"/>
      <c r="K102" s="545"/>
      <c r="L102" s="545"/>
      <c r="M102" s="546"/>
      <c r="N102" s="545"/>
      <c r="O102" s="545"/>
      <c r="P102" s="545"/>
      <c r="Q102" s="546"/>
      <c r="R102" s="545">
        <f>'[7]UNIDADES SIN USO'!B9</f>
        <v>-3465.4184194272239</v>
      </c>
      <c r="S102" s="545"/>
      <c r="T102" s="545"/>
      <c r="U102" s="546"/>
      <c r="V102" s="545"/>
      <c r="W102" s="545"/>
      <c r="X102" s="545"/>
      <c r="Y102" s="546"/>
      <c r="Z102" s="545"/>
      <c r="AA102" s="545"/>
      <c r="AB102" s="545"/>
      <c r="AC102" s="546"/>
      <c r="AD102" s="545"/>
      <c r="AE102" s="545"/>
      <c r="AF102" s="545"/>
      <c r="AG102" s="546"/>
      <c r="AH102" s="545"/>
      <c r="AI102" s="545"/>
      <c r="AJ102" s="545"/>
      <c r="AK102" s="546"/>
      <c r="AL102" s="545"/>
      <c r="AM102" s="545"/>
      <c r="AN102" s="545"/>
      <c r="AO102" s="546"/>
      <c r="AP102" s="545">
        <f>'[2]UNIDADES SIN USO'!B9</f>
        <v>-4860.0088545224535</v>
      </c>
      <c r="AQ102" s="545"/>
      <c r="AR102" s="545"/>
      <c r="AS102" s="546"/>
      <c r="AT102" s="545">
        <f>'UNIDADES SIN USO'!B9</f>
        <v>-3734.1288545224543</v>
      </c>
      <c r="AU102" s="545"/>
      <c r="AV102" s="545"/>
      <c r="AW102" s="546"/>
    </row>
    <row r="103" spans="1:49" x14ac:dyDescent="0.25">
      <c r="A103" s="302" t="s">
        <v>442</v>
      </c>
      <c r="B103" s="582"/>
      <c r="C103" s="582"/>
      <c r="D103" s="582"/>
      <c r="E103" s="583"/>
      <c r="F103" s="545">
        <f>'[4]UNIDADES SIN USO'!E9</f>
        <v>-2273.7317527605574</v>
      </c>
      <c r="G103" s="545"/>
      <c r="H103" s="545"/>
      <c r="I103" s="546"/>
      <c r="J103" s="545">
        <f>'[5]UNIDADES SIN USO'!B9</f>
        <v>-3660.7517527605569</v>
      </c>
      <c r="K103" s="545"/>
      <c r="L103" s="545"/>
      <c r="M103" s="546"/>
      <c r="N103" s="545">
        <f>'[6]UNIDADES SIN USO'!B9</f>
        <v>-3375.7984194272235</v>
      </c>
      <c r="O103" s="545"/>
      <c r="P103" s="545"/>
      <c r="Q103" s="546"/>
      <c r="R103" s="545">
        <f>'[7]UNIDADES SIN USO'!E9</f>
        <v>-3368.1084194272235</v>
      </c>
      <c r="S103" s="545"/>
      <c r="T103" s="545"/>
      <c r="U103" s="546"/>
      <c r="V103" s="545">
        <f>'[8]UNIDADES SIN USO'!B9</f>
        <v>-3558.1384194272237</v>
      </c>
      <c r="W103" s="545"/>
      <c r="X103" s="545"/>
      <c r="Y103" s="546"/>
      <c r="Z103" s="545">
        <f>'[9]UNIDADES SIN USO'!B9</f>
        <v>-25256.25841942722</v>
      </c>
      <c r="AA103" s="545"/>
      <c r="AB103" s="545"/>
      <c r="AC103" s="546"/>
      <c r="AD103" s="545">
        <f>'[10]UNIDADES SIN USO'!B9</f>
        <v>-4397.4684194272231</v>
      </c>
      <c r="AE103" s="545"/>
      <c r="AF103" s="545"/>
      <c r="AG103" s="546"/>
      <c r="AH103" s="545">
        <f>'[11]UNIDADES SIN USO'!B9</f>
        <v>-6384.9084194272236</v>
      </c>
      <c r="AI103" s="545"/>
      <c r="AJ103" s="545"/>
      <c r="AK103" s="546"/>
      <c r="AL103" s="545">
        <f>'[1]UNIDADES SIN USO'!B9</f>
        <v>-3687.9184194272239</v>
      </c>
      <c r="AM103" s="545"/>
      <c r="AN103" s="545"/>
      <c r="AO103" s="546"/>
      <c r="AP103" s="545">
        <f>'[2]UNIDADES SIN USO'!E9</f>
        <v>-3760.0088545224544</v>
      </c>
      <c r="AQ103" s="545"/>
      <c r="AR103" s="545"/>
      <c r="AS103" s="546"/>
      <c r="AT103" s="545">
        <f>'UNIDADES SIN USO'!E9</f>
        <v>-3734.1288545224543</v>
      </c>
      <c r="AU103" s="545"/>
      <c r="AV103" s="545"/>
      <c r="AW103" s="546"/>
    </row>
    <row r="104" spans="1:49" x14ac:dyDescent="0.25">
      <c r="A104" s="302" t="s">
        <v>438</v>
      </c>
      <c r="B104" s="582">
        <f>'[3]UNIDADES SIN USO'!B9</f>
        <v>-22964.855086093892</v>
      </c>
      <c r="C104" s="582"/>
      <c r="D104" s="582"/>
      <c r="E104" s="583"/>
      <c r="F104" s="545">
        <f>'[4]UNIDADES SIN USO'!H9</f>
        <v>-2095.0450860938899</v>
      </c>
      <c r="G104" s="545"/>
      <c r="H104" s="545"/>
      <c r="I104" s="546"/>
      <c r="J104" s="545"/>
      <c r="K104" s="545"/>
      <c r="L104" s="545"/>
      <c r="M104" s="546"/>
      <c r="N104" s="545"/>
      <c r="O104" s="545"/>
      <c r="P104" s="545"/>
      <c r="Q104" s="546"/>
      <c r="R104" s="545"/>
      <c r="S104" s="545"/>
      <c r="T104" s="545"/>
      <c r="U104" s="546"/>
      <c r="V104" s="545">
        <f>'[8]UNIDADES SIN USO'!E9</f>
        <v>-3134.9117527605572</v>
      </c>
      <c r="W104" s="545"/>
      <c r="X104" s="545"/>
      <c r="Y104" s="546"/>
      <c r="Z104" s="545">
        <f>'[9]UNIDADES SIN USO'!E9</f>
        <v>-3327.571752760557</v>
      </c>
      <c r="AA104" s="545"/>
      <c r="AB104" s="545"/>
      <c r="AC104" s="546"/>
      <c r="AD104" s="545"/>
      <c r="AE104" s="545"/>
      <c r="AF104" s="545"/>
      <c r="AG104" s="546"/>
      <c r="AH104" s="545"/>
      <c r="AI104" s="545"/>
      <c r="AJ104" s="545"/>
      <c r="AK104" s="546"/>
      <c r="AL104" s="545">
        <f>'[1]UNIDADES SIN USO'!E9</f>
        <v>-3264.6917527605574</v>
      </c>
      <c r="AM104" s="545"/>
      <c r="AN104" s="545"/>
      <c r="AO104" s="546"/>
      <c r="AP104" s="545">
        <f>'[2]UNIDADES SIN USO'!H9</f>
        <v>-3336.7821878557879</v>
      </c>
      <c r="AQ104" s="545"/>
      <c r="AR104" s="545"/>
      <c r="AS104" s="546"/>
      <c r="AT104" s="545">
        <f>'UNIDADES SIN USO'!H9</f>
        <v>-3310.9021878557878</v>
      </c>
      <c r="AU104" s="545"/>
      <c r="AV104" s="545"/>
      <c r="AW104" s="546"/>
    </row>
    <row r="105" spans="1:49" x14ac:dyDescent="0.25">
      <c r="A105" s="302" t="s">
        <v>715</v>
      </c>
      <c r="B105" s="582">
        <f>'[3]UNIDADES SIN USO'!E9</f>
        <v>-176.24175276055701</v>
      </c>
      <c r="C105" s="582"/>
      <c r="D105" s="582"/>
      <c r="E105" s="583"/>
      <c r="F105" s="545">
        <f>'[4]UNIDADES SIN USO'!K9</f>
        <v>-176.24175276055701</v>
      </c>
      <c r="G105" s="545"/>
      <c r="H105" s="545"/>
      <c r="I105" s="546"/>
      <c r="J105" s="545">
        <f>'[5]UNIDADES SIN USO'!E9</f>
        <v>-197.07508609389035</v>
      </c>
      <c r="K105" s="545"/>
      <c r="L105" s="545"/>
      <c r="M105" s="546"/>
      <c r="N105" s="545">
        <f>'[6]UNIDADES SIN USO'!E9</f>
        <v>-197.07508609389035</v>
      </c>
      <c r="O105" s="545"/>
      <c r="P105" s="545"/>
      <c r="Q105" s="546"/>
      <c r="R105" s="545">
        <f>'[7]UNIDADES SIN USO'!H9</f>
        <v>-197.07508609389035</v>
      </c>
      <c r="S105" s="545"/>
      <c r="T105" s="545"/>
      <c r="U105" s="546"/>
      <c r="V105" s="545">
        <f>'[8]UNIDADES SIN USO'!H9</f>
        <v>-197.07508609389035</v>
      </c>
      <c r="W105" s="545"/>
      <c r="X105" s="545"/>
      <c r="Y105" s="546"/>
      <c r="Z105" s="545">
        <f>'[9]UNIDADES SIN USO'!H9</f>
        <v>-197.07508609389035</v>
      </c>
      <c r="AA105" s="545"/>
      <c r="AB105" s="545"/>
      <c r="AC105" s="546"/>
      <c r="AD105" s="545">
        <f>'[10]UNIDADES SIN USO'!E9</f>
        <v>-197.07508609389035</v>
      </c>
      <c r="AE105" s="545"/>
      <c r="AF105" s="545"/>
      <c r="AG105" s="546"/>
      <c r="AH105" s="545">
        <f>'[11]UNIDADES SIN USO'!E9</f>
        <v>-197.07508609389035</v>
      </c>
      <c r="AI105" s="545"/>
      <c r="AJ105" s="545"/>
      <c r="AK105" s="546"/>
      <c r="AL105" s="545">
        <f>'[1]UNIDADES SIN USO'!H9</f>
        <v>-197.07508609389035</v>
      </c>
      <c r="AM105" s="545"/>
      <c r="AN105" s="545"/>
      <c r="AO105" s="546"/>
      <c r="AP105" s="545"/>
      <c r="AQ105" s="545"/>
      <c r="AR105" s="545"/>
      <c r="AS105" s="546"/>
      <c r="AT105" s="545"/>
      <c r="AU105" s="545"/>
      <c r="AV105" s="545"/>
      <c r="AW105" s="546"/>
    </row>
    <row r="106" spans="1:49" x14ac:dyDescent="0.25">
      <c r="A106" s="302" t="s">
        <v>499</v>
      </c>
      <c r="B106" s="582"/>
      <c r="C106" s="582"/>
      <c r="D106" s="582"/>
      <c r="E106" s="583"/>
      <c r="F106" s="545">
        <f>'[4]UNIDADES SIN USO'!N9</f>
        <v>-1828.3342527605569</v>
      </c>
      <c r="G106" s="545"/>
      <c r="H106" s="545"/>
      <c r="I106" s="546"/>
      <c r="J106" s="545"/>
      <c r="K106" s="545"/>
      <c r="L106" s="545"/>
      <c r="M106" s="546"/>
      <c r="N106" s="545">
        <f>'[6]UNIDADES SIN USO'!H9</f>
        <v>-1947.3784194272234</v>
      </c>
      <c r="O106" s="545"/>
      <c r="P106" s="545"/>
      <c r="Q106" s="546"/>
      <c r="R106" s="545">
        <f>'[7]UNIDADES SIN USO'!K9</f>
        <v>-1981.8984194272234</v>
      </c>
      <c r="S106" s="545"/>
      <c r="T106" s="545"/>
      <c r="U106" s="546"/>
      <c r="V106" s="545">
        <f>'[8]UNIDADES SIN USO'!K9</f>
        <v>-2171.9284194272236</v>
      </c>
      <c r="W106" s="545"/>
      <c r="X106" s="545"/>
      <c r="Y106" s="546"/>
      <c r="Z106" s="545">
        <f>'[9]UNIDADES SIN USO'!K9</f>
        <v>-3014.5884194272235</v>
      </c>
      <c r="AA106" s="545"/>
      <c r="AB106" s="545"/>
      <c r="AC106" s="546"/>
      <c r="AD106" s="545"/>
      <c r="AE106" s="545"/>
      <c r="AF106" s="545"/>
      <c r="AG106" s="546"/>
      <c r="AH106" s="545"/>
      <c r="AI106" s="545"/>
      <c r="AJ106" s="545"/>
      <c r="AK106" s="546"/>
      <c r="AL106" s="545"/>
      <c r="AM106" s="545"/>
      <c r="AN106" s="545"/>
      <c r="AO106" s="546"/>
      <c r="AP106" s="545">
        <f>'[2]UNIDADES SIN USO'!K9</f>
        <v>-2335.5044996837441</v>
      </c>
      <c r="AQ106" s="545"/>
      <c r="AR106" s="545"/>
      <c r="AS106" s="546"/>
      <c r="AT106" s="545">
        <f>'UNIDADES SIN USO'!K9</f>
        <v>-2309.624499683744</v>
      </c>
      <c r="AU106" s="545"/>
      <c r="AV106" s="545"/>
      <c r="AW106" s="546"/>
    </row>
    <row r="107" spans="1:49" x14ac:dyDescent="0.25">
      <c r="A107" s="302" t="s">
        <v>292</v>
      </c>
      <c r="B107" s="582">
        <f>'[3]UNIDADES SIN USO'!H9</f>
        <v>-2015.144252760557</v>
      </c>
      <c r="C107" s="582"/>
      <c r="D107" s="582"/>
      <c r="E107" s="583"/>
      <c r="F107" s="545">
        <f>'[4]UNIDADES SIN USO'!B17</f>
        <v>-1562.714252760557</v>
      </c>
      <c r="G107" s="545"/>
      <c r="H107" s="545"/>
      <c r="I107" s="546"/>
      <c r="J107" s="545">
        <f>'[5]UNIDADES SIN USO'!H9</f>
        <v>-1212.8317527605568</v>
      </c>
      <c r="K107" s="545"/>
      <c r="L107" s="545"/>
      <c r="M107" s="546"/>
      <c r="N107" s="545">
        <f>'[6]UNIDADES SIN USO'!K9</f>
        <v>-1628.6884194272238</v>
      </c>
      <c r="O107" s="545"/>
      <c r="P107" s="545"/>
      <c r="Q107" s="546"/>
      <c r="R107" s="545">
        <f>'[7]UNIDADES SIN USO'!N9</f>
        <v>-1663.1484194272236</v>
      </c>
      <c r="S107" s="545"/>
      <c r="T107" s="545"/>
      <c r="U107" s="546"/>
      <c r="V107" s="545">
        <f>'[8]UNIDADES SIN USO'!N9</f>
        <v>-1853.1784194272236</v>
      </c>
      <c r="W107" s="545"/>
      <c r="X107" s="545"/>
      <c r="Y107" s="546"/>
      <c r="Z107" s="545">
        <f>'[9]UNIDADES SIN USO'!N9</f>
        <v>-2695.8384194272235</v>
      </c>
      <c r="AA107" s="545"/>
      <c r="AB107" s="545"/>
      <c r="AC107" s="546"/>
      <c r="AD107" s="545">
        <f>'[10]UNIDADES SIN USO'!H9</f>
        <v>-3350.3584194272235</v>
      </c>
      <c r="AE107" s="545"/>
      <c r="AF107" s="545"/>
      <c r="AG107" s="546"/>
      <c r="AH107" s="545"/>
      <c r="AI107" s="545"/>
      <c r="AJ107" s="545"/>
      <c r="AK107" s="546"/>
      <c r="AL107" s="545"/>
      <c r="AM107" s="545"/>
      <c r="AN107" s="545"/>
      <c r="AO107" s="546"/>
      <c r="AP107" s="545">
        <f>'[2]UNIDADES SIN USO'!N9</f>
        <v>-5916.7544996837441</v>
      </c>
      <c r="AQ107" s="545"/>
      <c r="AR107" s="545"/>
      <c r="AS107" s="546"/>
      <c r="AT107" s="545">
        <f>'UNIDADES SIN USO'!N9</f>
        <v>-7084.4744996837444</v>
      </c>
      <c r="AU107" s="545"/>
      <c r="AV107" s="545"/>
      <c r="AW107" s="546"/>
    </row>
    <row r="108" spans="1:49" x14ac:dyDescent="0.25">
      <c r="A108" s="302" t="s">
        <v>229</v>
      </c>
      <c r="B108" s="315"/>
      <c r="C108" s="315"/>
      <c r="D108" s="315"/>
      <c r="E108" s="316"/>
      <c r="F108" s="317"/>
      <c r="G108" s="317"/>
      <c r="H108" s="317"/>
      <c r="I108" s="318"/>
      <c r="J108" s="317"/>
      <c r="K108" s="317"/>
      <c r="L108" s="317"/>
      <c r="M108" s="318"/>
      <c r="N108" s="584"/>
      <c r="O108" s="582"/>
      <c r="P108" s="582"/>
      <c r="Q108" s="583"/>
      <c r="R108" s="545"/>
      <c r="S108" s="545"/>
      <c r="T108" s="545"/>
      <c r="U108" s="546"/>
      <c r="V108" s="545">
        <f>'[8]UNIDADES SIN USO'!B17</f>
        <v>-83431.367499999993</v>
      </c>
      <c r="W108" s="545"/>
      <c r="X108" s="545"/>
      <c r="Y108" s="546"/>
      <c r="Z108" s="545">
        <f>'[9]UNIDADES SIN USO'!B17</f>
        <v>-5985.3874999999998</v>
      </c>
      <c r="AA108" s="545"/>
      <c r="AB108" s="545"/>
      <c r="AC108" s="546"/>
      <c r="AD108" s="545"/>
      <c r="AE108" s="545"/>
      <c r="AF108" s="545"/>
      <c r="AG108" s="546"/>
      <c r="AH108" s="545"/>
      <c r="AI108" s="545"/>
      <c r="AJ108" s="545"/>
      <c r="AK108" s="546"/>
      <c r="AL108" s="545"/>
      <c r="AM108" s="545"/>
      <c r="AN108" s="545"/>
      <c r="AO108" s="546"/>
      <c r="AP108" s="545"/>
      <c r="AQ108" s="545"/>
      <c r="AR108" s="545"/>
      <c r="AS108" s="546"/>
      <c r="AT108" s="545"/>
      <c r="AU108" s="545"/>
      <c r="AV108" s="545"/>
      <c r="AW108" s="546"/>
    </row>
    <row r="109" spans="1:49" x14ac:dyDescent="0.25">
      <c r="A109" s="302" t="s">
        <v>118</v>
      </c>
      <c r="B109" s="315"/>
      <c r="C109" s="315"/>
      <c r="D109" s="315"/>
      <c r="E109" s="316"/>
      <c r="F109" s="317"/>
      <c r="G109" s="317"/>
      <c r="H109" s="317"/>
      <c r="I109" s="318"/>
      <c r="J109" s="317"/>
      <c r="K109" s="317"/>
      <c r="L109" s="317"/>
      <c r="M109" s="318"/>
      <c r="N109" s="319"/>
      <c r="O109" s="315"/>
      <c r="P109" s="315"/>
      <c r="Q109" s="316"/>
      <c r="R109" s="317"/>
      <c r="S109" s="317"/>
      <c r="T109" s="317"/>
      <c r="U109" s="318"/>
      <c r="V109" s="545"/>
      <c r="W109" s="545"/>
      <c r="X109" s="545"/>
      <c r="Y109" s="546"/>
      <c r="Z109" s="545"/>
      <c r="AA109" s="545"/>
      <c r="AB109" s="545"/>
      <c r="AC109" s="546"/>
      <c r="AD109" s="545">
        <f>'[10]UNIDADES SIN USO'!E33</f>
        <v>-108779.05</v>
      </c>
      <c r="AE109" s="545"/>
      <c r="AF109" s="545"/>
      <c r="AG109" s="546"/>
      <c r="AH109" s="545">
        <f>'[11]UNIDADES SIN USO'!H9</f>
        <v>-124665.42500000003</v>
      </c>
      <c r="AI109" s="545"/>
      <c r="AJ109" s="545"/>
      <c r="AK109" s="546"/>
      <c r="AL109" s="545"/>
      <c r="AM109" s="545"/>
      <c r="AN109" s="545"/>
      <c r="AO109" s="546"/>
      <c r="AP109" s="545"/>
      <c r="AQ109" s="545"/>
      <c r="AR109" s="545"/>
      <c r="AS109" s="546"/>
      <c r="AT109" s="545"/>
      <c r="AU109" s="545"/>
      <c r="AV109" s="545"/>
      <c r="AW109" s="546"/>
    </row>
    <row r="110" spans="1:49" x14ac:dyDescent="0.25">
      <c r="A110" s="302" t="s">
        <v>124</v>
      </c>
      <c r="B110" s="315"/>
      <c r="C110" s="315"/>
      <c r="D110" s="315"/>
      <c r="E110" s="316"/>
      <c r="F110" s="317"/>
      <c r="G110" s="317"/>
      <c r="H110" s="317"/>
      <c r="I110" s="318"/>
      <c r="J110" s="317"/>
      <c r="K110" s="317"/>
      <c r="L110" s="317"/>
      <c r="M110" s="318"/>
      <c r="N110" s="319"/>
      <c r="O110" s="315"/>
      <c r="P110" s="315"/>
      <c r="Q110" s="316"/>
      <c r="R110" s="317"/>
      <c r="S110" s="317"/>
      <c r="T110" s="317"/>
      <c r="U110" s="318"/>
      <c r="V110" s="545"/>
      <c r="W110" s="545"/>
      <c r="X110" s="545"/>
      <c r="Y110" s="546"/>
      <c r="Z110" s="545"/>
      <c r="AA110" s="545"/>
      <c r="AB110" s="545"/>
      <c r="AC110" s="546"/>
      <c r="AD110" s="545">
        <f>'[10]UNIDADES SIN USO'!H33</f>
        <v>-108779.05</v>
      </c>
      <c r="AE110" s="545"/>
      <c r="AF110" s="545"/>
      <c r="AG110" s="546"/>
      <c r="AH110" s="545">
        <f>'[11]UNIDADES SIN USO'!K9</f>
        <v>-41162.534999999996</v>
      </c>
      <c r="AI110" s="545"/>
      <c r="AJ110" s="545"/>
      <c r="AK110" s="546"/>
      <c r="AL110" s="545">
        <f>'[1]UNIDADES SIN USO'!K9</f>
        <v>-42034.964999999997</v>
      </c>
      <c r="AM110" s="545"/>
      <c r="AN110" s="545"/>
      <c r="AO110" s="546"/>
      <c r="AP110" s="545"/>
      <c r="AQ110" s="545"/>
      <c r="AR110" s="545"/>
      <c r="AS110" s="546"/>
      <c r="AT110" s="545"/>
      <c r="AU110" s="545"/>
      <c r="AV110" s="545"/>
      <c r="AW110" s="546"/>
    </row>
    <row r="111" spans="1:49" x14ac:dyDescent="0.25">
      <c r="A111" s="302" t="s">
        <v>247</v>
      </c>
      <c r="B111" s="582"/>
      <c r="C111" s="582"/>
      <c r="D111" s="582"/>
      <c r="E111" s="583"/>
      <c r="F111" s="545"/>
      <c r="G111" s="545"/>
      <c r="H111" s="545"/>
      <c r="I111" s="546"/>
      <c r="J111" s="545"/>
      <c r="K111" s="545"/>
      <c r="L111" s="545"/>
      <c r="M111" s="546"/>
      <c r="N111" s="584"/>
      <c r="O111" s="582"/>
      <c r="P111" s="582"/>
      <c r="Q111" s="583"/>
      <c r="R111" s="545">
        <f>'[7]UNIDADES SIN USO'!B17</f>
        <v>-176.24175276055701</v>
      </c>
      <c r="S111" s="545"/>
      <c r="T111" s="545"/>
      <c r="U111" s="546"/>
      <c r="V111" s="545">
        <f>'[8]UNIDADES SIN USO'!E17</f>
        <v>-188.74175276055701</v>
      </c>
      <c r="W111" s="545"/>
      <c r="X111" s="545"/>
      <c r="Y111" s="546"/>
      <c r="Z111" s="545"/>
      <c r="AA111" s="545"/>
      <c r="AB111" s="545"/>
      <c r="AC111" s="546"/>
      <c r="AD111" s="545"/>
      <c r="AE111" s="545"/>
      <c r="AF111" s="545"/>
      <c r="AG111" s="546"/>
      <c r="AH111" s="545"/>
      <c r="AI111" s="545"/>
      <c r="AJ111" s="545"/>
      <c r="AK111" s="546"/>
      <c r="AL111" s="545"/>
      <c r="AM111" s="545"/>
      <c r="AN111" s="545"/>
      <c r="AO111" s="546"/>
      <c r="AP111" s="545"/>
      <c r="AQ111" s="545"/>
      <c r="AR111" s="545"/>
      <c r="AS111" s="546"/>
      <c r="AT111" s="545"/>
      <c r="AU111" s="545"/>
      <c r="AV111" s="545"/>
      <c r="AW111" s="546"/>
    </row>
    <row r="112" spans="1:49" x14ac:dyDescent="0.25">
      <c r="A112" s="302" t="s">
        <v>1128</v>
      </c>
      <c r="B112" s="582"/>
      <c r="C112" s="582"/>
      <c r="D112" s="582"/>
      <c r="E112" s="583"/>
      <c r="F112" s="545"/>
      <c r="G112" s="545"/>
      <c r="H112" s="545"/>
      <c r="I112" s="546"/>
      <c r="J112" s="545"/>
      <c r="K112" s="545"/>
      <c r="L112" s="545"/>
      <c r="M112" s="546"/>
      <c r="N112" s="545"/>
      <c r="O112" s="545"/>
      <c r="P112" s="545"/>
      <c r="Q112" s="546"/>
      <c r="R112" s="545"/>
      <c r="S112" s="545"/>
      <c r="T112" s="545"/>
      <c r="U112" s="546"/>
      <c r="V112" s="545"/>
      <c r="W112" s="545"/>
      <c r="X112" s="545"/>
      <c r="Y112" s="546"/>
      <c r="Z112" s="545"/>
      <c r="AA112" s="545"/>
      <c r="AB112" s="545"/>
      <c r="AC112" s="546"/>
      <c r="AD112" s="545"/>
      <c r="AE112" s="545"/>
      <c r="AF112" s="545"/>
      <c r="AG112" s="546"/>
      <c r="AH112" s="545"/>
      <c r="AI112" s="545"/>
      <c r="AJ112" s="545"/>
      <c r="AK112" s="546"/>
      <c r="AL112" s="545"/>
      <c r="AM112" s="545"/>
      <c r="AN112" s="545"/>
      <c r="AO112" s="546"/>
      <c r="AP112" s="545"/>
      <c r="AQ112" s="545"/>
      <c r="AR112" s="545"/>
      <c r="AS112" s="546"/>
      <c r="AT112" s="545"/>
      <c r="AU112" s="545"/>
      <c r="AV112" s="545"/>
      <c r="AW112" s="546"/>
    </row>
    <row r="113" spans="1:49" x14ac:dyDescent="0.25">
      <c r="A113" s="302" t="s">
        <v>434</v>
      </c>
      <c r="B113" s="582">
        <f>'[3]UNIDADES SIN USO'!K9</f>
        <v>-1590.7850860938904</v>
      </c>
      <c r="C113" s="582"/>
      <c r="D113" s="582"/>
      <c r="E113" s="583"/>
      <c r="F113" s="545">
        <f>'[4]UNIDADES SIN USO'!E17</f>
        <v>-1138.3550860938903</v>
      </c>
      <c r="G113" s="545"/>
      <c r="H113" s="545"/>
      <c r="I113" s="546"/>
      <c r="J113" s="545">
        <f>'[5]UNIDADES SIN USO'!B17</f>
        <v>-1233.6650860938903</v>
      </c>
      <c r="K113" s="545"/>
      <c r="L113" s="545"/>
      <c r="M113" s="546"/>
      <c r="N113" s="545">
        <f>'[6]UNIDADES SIN USO'!E17</f>
        <v>-1121.2350860938902</v>
      </c>
      <c r="O113" s="545"/>
      <c r="P113" s="545"/>
      <c r="Q113" s="546"/>
      <c r="R113" s="545">
        <f>'[7]UNIDADES SIN USO'!H17</f>
        <v>-1155.7550860938902</v>
      </c>
      <c r="S113" s="545"/>
      <c r="T113" s="545"/>
      <c r="U113" s="546"/>
      <c r="V113" s="545">
        <f>'[8]UNIDADES SIN USO'!K17</f>
        <v>-1345.7850860938904</v>
      </c>
      <c r="W113" s="545"/>
      <c r="X113" s="545"/>
      <c r="Y113" s="546"/>
      <c r="Z113" s="545">
        <f>'[9]UNIDADES SIN USO'!H17</f>
        <v>-1659.3650860938903</v>
      </c>
      <c r="AA113" s="545"/>
      <c r="AB113" s="545"/>
      <c r="AC113" s="546"/>
      <c r="AD113" s="545">
        <f>'[10]UNIDADES SIN USO'!N9</f>
        <v>-1385.1150860938903</v>
      </c>
      <c r="AE113" s="545"/>
      <c r="AF113" s="545"/>
      <c r="AG113" s="546"/>
      <c r="AH113" s="545">
        <f>'[11]UNIDADES SIN USO'!B17</f>
        <v>-1522.5550860938904</v>
      </c>
      <c r="AI113" s="545"/>
      <c r="AJ113" s="545"/>
      <c r="AK113" s="546"/>
      <c r="AL113" s="545">
        <f>'[1]UNIDADES SIN USO'!B17</f>
        <v>-1475.5650860938904</v>
      </c>
      <c r="AM113" s="545"/>
      <c r="AN113" s="545"/>
      <c r="AO113" s="546"/>
      <c r="AP113" s="545">
        <f>'[2]UNIDADES SIN USO'!E17</f>
        <v>-8210.8355502213781</v>
      </c>
      <c r="AQ113" s="545"/>
      <c r="AR113" s="545"/>
      <c r="AS113" s="546"/>
      <c r="AT113" s="545">
        <f>'UNIDADES SIN USO'!E17</f>
        <v>-1534.5416502213789</v>
      </c>
      <c r="AU113" s="545"/>
      <c r="AV113" s="545"/>
      <c r="AW113" s="546"/>
    </row>
    <row r="114" spans="1:49" x14ac:dyDescent="0.25">
      <c r="A114" s="302" t="s">
        <v>1129</v>
      </c>
      <c r="B114" s="582"/>
      <c r="C114" s="582"/>
      <c r="D114" s="582"/>
      <c r="E114" s="583"/>
      <c r="F114" s="545"/>
      <c r="G114" s="545"/>
      <c r="H114" s="545"/>
      <c r="I114" s="546"/>
      <c r="J114" s="545"/>
      <c r="K114" s="545"/>
      <c r="L114" s="545"/>
      <c r="M114" s="546"/>
      <c r="N114" s="545"/>
      <c r="O114" s="545"/>
      <c r="P114" s="545"/>
      <c r="Q114" s="546"/>
      <c r="R114" s="545"/>
      <c r="S114" s="545"/>
      <c r="T114" s="545"/>
      <c r="U114" s="546"/>
      <c r="V114" s="545"/>
      <c r="W114" s="545"/>
      <c r="X114" s="545"/>
      <c r="Y114" s="546"/>
      <c r="Z114" s="545"/>
      <c r="AA114" s="545"/>
      <c r="AB114" s="545"/>
      <c r="AC114" s="546"/>
      <c r="AD114" s="545"/>
      <c r="AE114" s="545"/>
      <c r="AF114" s="545"/>
      <c r="AG114" s="546"/>
      <c r="AH114" s="545"/>
      <c r="AI114" s="545"/>
      <c r="AJ114" s="545"/>
      <c r="AK114" s="546"/>
      <c r="AL114" s="545"/>
      <c r="AM114" s="545"/>
      <c r="AN114" s="545"/>
      <c r="AO114" s="546"/>
      <c r="AP114" s="545"/>
      <c r="AQ114" s="545"/>
      <c r="AR114" s="545"/>
      <c r="AS114" s="546"/>
      <c r="AT114" s="545"/>
      <c r="AU114" s="545"/>
      <c r="AV114" s="545"/>
      <c r="AW114" s="546"/>
    </row>
    <row r="115" spans="1:49" x14ac:dyDescent="0.25">
      <c r="A115" s="302" t="s">
        <v>445</v>
      </c>
      <c r="B115" s="582">
        <f>'[3]UNIDADES SIN USO'!B17</f>
        <v>-744.57175276055705</v>
      </c>
      <c r="C115" s="582"/>
      <c r="D115" s="582"/>
      <c r="E115" s="583"/>
      <c r="F115" s="545">
        <f>'[4]UNIDADES SIN USO'!H17</f>
        <v>-176.24175276055701</v>
      </c>
      <c r="G115" s="545"/>
      <c r="H115" s="545"/>
      <c r="I115" s="546"/>
      <c r="J115" s="545">
        <f>'[5]UNIDADES SIN USO'!E17</f>
        <v>-897.07508609389038</v>
      </c>
      <c r="K115" s="545"/>
      <c r="L115" s="545"/>
      <c r="M115" s="546"/>
      <c r="N115" s="545">
        <f>'[6]UNIDADES SIN USO'!H17</f>
        <v>-197.07508609389035</v>
      </c>
      <c r="O115" s="545"/>
      <c r="P115" s="545"/>
      <c r="Q115" s="546"/>
      <c r="R115" s="545">
        <f>'[7]UNIDADES SIN USO'!K17</f>
        <v>-197.07508609389035</v>
      </c>
      <c r="S115" s="545"/>
      <c r="T115" s="545"/>
      <c r="U115" s="546"/>
      <c r="V115" s="545">
        <f>'[8]UNIDADES SIN USO'!N17</f>
        <v>-197.07508609389035</v>
      </c>
      <c r="W115" s="545"/>
      <c r="X115" s="545"/>
      <c r="Y115" s="546"/>
      <c r="Z115" s="545">
        <f>'[9]UNIDADES SIN USO'!K17</f>
        <v>-197.07508609389035</v>
      </c>
      <c r="AA115" s="545"/>
      <c r="AB115" s="545"/>
      <c r="AC115" s="546"/>
      <c r="AD115" s="545">
        <f>'[10]UNIDADES SIN USO'!B17</f>
        <v>-197.07508609389035</v>
      </c>
      <c r="AE115" s="545"/>
      <c r="AF115" s="545"/>
      <c r="AG115" s="546"/>
      <c r="AH115" s="545">
        <f>'[11]UNIDADES SIN USO'!E17</f>
        <v>-197.07508609389035</v>
      </c>
      <c r="AI115" s="545"/>
      <c r="AJ115" s="545"/>
      <c r="AK115" s="546"/>
      <c r="AL115" s="545">
        <f>'[1]UNIDADES SIN USO'!E17</f>
        <v>-197.07508609389035</v>
      </c>
      <c r="AM115" s="545"/>
      <c r="AN115" s="545"/>
      <c r="AO115" s="546"/>
      <c r="AP115" s="545">
        <f>'[2]UNIDADES SIN USO'!H17</f>
        <v>-281.93165022137885</v>
      </c>
      <c r="AQ115" s="545"/>
      <c r="AR115" s="545"/>
      <c r="AS115" s="546"/>
      <c r="AT115" s="545">
        <f>'UNIDADES SIN USO'!H17</f>
        <v>-281.93165022137885</v>
      </c>
      <c r="AU115" s="545"/>
      <c r="AV115" s="545"/>
      <c r="AW115" s="546"/>
    </row>
    <row r="116" spans="1:49" x14ac:dyDescent="0.25">
      <c r="A116" s="302" t="s">
        <v>430</v>
      </c>
      <c r="B116" s="582">
        <f>'[3]UNIDADES SIN USO'!E17</f>
        <v>-744.57175276055705</v>
      </c>
      <c r="C116" s="582"/>
      <c r="D116" s="582"/>
      <c r="E116" s="583"/>
      <c r="F116" s="545">
        <f>'[4]UNIDADES SIN USO'!K17</f>
        <v>-176.24175276055701</v>
      </c>
      <c r="G116" s="545"/>
      <c r="H116" s="545"/>
      <c r="I116" s="546"/>
      <c r="J116" s="545">
        <f>'[5]UNIDADES SIN USO'!H17</f>
        <v>-876.24175276055701</v>
      </c>
      <c r="K116" s="545"/>
      <c r="L116" s="545"/>
      <c r="M116" s="546"/>
      <c r="N116" s="545">
        <f>'[6]UNIDADES SIN USO'!K17</f>
        <v>-176.24175276055701</v>
      </c>
      <c r="O116" s="545"/>
      <c r="P116" s="545"/>
      <c r="Q116" s="546"/>
      <c r="R116" s="545">
        <f>'[7]UNIDADES SIN USO'!N17</f>
        <v>-176.24175276055701</v>
      </c>
      <c r="S116" s="545"/>
      <c r="T116" s="545"/>
      <c r="U116" s="546"/>
      <c r="V116" s="545">
        <f>'[8]UNIDADES SIN USO'!B25</f>
        <v>-176.24175276055701</v>
      </c>
      <c r="W116" s="545"/>
      <c r="X116" s="545"/>
      <c r="Y116" s="546"/>
      <c r="Z116" s="545">
        <f>'[9]UNIDADES SIN USO'!N17</f>
        <v>-176.24175276055701</v>
      </c>
      <c r="AA116" s="545"/>
      <c r="AB116" s="545"/>
      <c r="AC116" s="546"/>
      <c r="AD116" s="545">
        <f>'[10]UNIDADES SIN USO'!E17</f>
        <v>-176.24175276055701</v>
      </c>
      <c r="AE116" s="545"/>
      <c r="AF116" s="545"/>
      <c r="AG116" s="546"/>
      <c r="AH116" s="545">
        <f>'[11]UNIDADES SIN USO'!H17</f>
        <v>-176.24175276055701</v>
      </c>
      <c r="AI116" s="545"/>
      <c r="AJ116" s="545"/>
      <c r="AK116" s="546"/>
      <c r="AL116" s="545">
        <f>'[1]UNIDADES SIN USO'!H17</f>
        <v>-176.24175276055701</v>
      </c>
      <c r="AM116" s="545"/>
      <c r="AN116" s="545"/>
      <c r="AO116" s="546"/>
      <c r="AP116" s="545">
        <f>'[2]UNIDADES SIN USO'!K17</f>
        <v>-262.87788678051868</v>
      </c>
      <c r="AQ116" s="545"/>
      <c r="AR116" s="545"/>
      <c r="AS116" s="546"/>
      <c r="AT116" s="545">
        <f>'UNIDADES SIN USO'!K17</f>
        <v>-262.87788678051868</v>
      </c>
      <c r="AU116" s="545"/>
      <c r="AV116" s="545"/>
      <c r="AW116" s="546"/>
    </row>
    <row r="117" spans="1:49" x14ac:dyDescent="0.25">
      <c r="A117" s="302" t="s">
        <v>279</v>
      </c>
      <c r="B117" s="582"/>
      <c r="C117" s="582"/>
      <c r="D117" s="582"/>
      <c r="E117" s="583"/>
      <c r="F117" s="545"/>
      <c r="G117" s="545"/>
      <c r="H117" s="545"/>
      <c r="I117" s="546"/>
      <c r="J117" s="545"/>
      <c r="K117" s="545"/>
      <c r="L117" s="545"/>
      <c r="M117" s="546"/>
      <c r="N117" s="545"/>
      <c r="O117" s="545"/>
      <c r="P117" s="545"/>
      <c r="Q117" s="546"/>
      <c r="R117" s="545"/>
      <c r="S117" s="545"/>
      <c r="T117" s="545"/>
      <c r="U117" s="546"/>
      <c r="V117" s="545"/>
      <c r="W117" s="545"/>
      <c r="X117" s="545"/>
      <c r="Y117" s="546"/>
      <c r="Z117" s="545"/>
      <c r="AA117" s="545"/>
      <c r="AB117" s="545"/>
      <c r="AC117" s="546"/>
      <c r="AD117" s="545"/>
      <c r="AE117" s="545"/>
      <c r="AF117" s="545"/>
      <c r="AG117" s="546"/>
      <c r="AH117" s="545"/>
      <c r="AI117" s="545"/>
      <c r="AJ117" s="545"/>
      <c r="AK117" s="546"/>
      <c r="AL117" s="545"/>
      <c r="AM117" s="545"/>
      <c r="AN117" s="545"/>
      <c r="AO117" s="546"/>
      <c r="AP117" s="545"/>
      <c r="AQ117" s="545"/>
      <c r="AR117" s="545"/>
      <c r="AS117" s="546"/>
      <c r="AT117" s="545"/>
      <c r="AU117" s="545"/>
      <c r="AV117" s="545"/>
      <c r="AW117" s="546"/>
    </row>
    <row r="118" spans="1:49" x14ac:dyDescent="0.25">
      <c r="A118" s="302" t="s">
        <v>305</v>
      </c>
      <c r="B118" s="582"/>
      <c r="C118" s="582"/>
      <c r="D118" s="582"/>
      <c r="E118" s="583"/>
      <c r="F118" s="545"/>
      <c r="G118" s="545"/>
      <c r="H118" s="545"/>
      <c r="I118" s="546"/>
      <c r="J118" s="545"/>
      <c r="K118" s="545"/>
      <c r="L118" s="545"/>
      <c r="M118" s="546"/>
      <c r="N118" s="545"/>
      <c r="O118" s="545"/>
      <c r="P118" s="545"/>
      <c r="Q118" s="546"/>
      <c r="R118" s="545"/>
      <c r="S118" s="545"/>
      <c r="T118" s="545"/>
      <c r="U118" s="546"/>
      <c r="V118" s="545"/>
      <c r="W118" s="545"/>
      <c r="X118" s="545"/>
      <c r="Y118" s="546"/>
      <c r="Z118" s="545"/>
      <c r="AA118" s="545"/>
      <c r="AB118" s="545"/>
      <c r="AC118" s="546"/>
      <c r="AD118" s="545"/>
      <c r="AE118" s="545"/>
      <c r="AF118" s="545"/>
      <c r="AG118" s="546"/>
      <c r="AH118" s="545"/>
      <c r="AI118" s="545"/>
      <c r="AJ118" s="545"/>
      <c r="AK118" s="546"/>
      <c r="AL118" s="545"/>
      <c r="AM118" s="545"/>
      <c r="AN118" s="545"/>
      <c r="AO118" s="546"/>
      <c r="AP118" s="545"/>
      <c r="AQ118" s="545"/>
      <c r="AR118" s="545"/>
      <c r="AS118" s="546"/>
      <c r="AT118" s="545">
        <f>'UNIDADES SIN USO'!N17</f>
        <v>-4165.3716502213792</v>
      </c>
      <c r="AU118" s="545"/>
      <c r="AV118" s="545"/>
      <c r="AW118" s="546"/>
    </row>
    <row r="119" spans="1:49" x14ac:dyDescent="0.25">
      <c r="A119" s="302" t="s">
        <v>482</v>
      </c>
      <c r="B119" s="582">
        <f>'[3]UNIDADES SIN USO'!H17</f>
        <v>-1016.2550860938904</v>
      </c>
      <c r="C119" s="582"/>
      <c r="D119" s="582"/>
      <c r="E119" s="583"/>
      <c r="F119" s="545"/>
      <c r="G119" s="545"/>
      <c r="H119" s="545"/>
      <c r="I119" s="546"/>
      <c r="J119" s="545"/>
      <c r="K119" s="545"/>
      <c r="L119" s="545"/>
      <c r="M119" s="546"/>
      <c r="N119" s="545">
        <f>'[6]UNIDADES SIN USO'!B25</f>
        <v>-294.38508609389032</v>
      </c>
      <c r="O119" s="545"/>
      <c r="P119" s="545"/>
      <c r="Q119" s="546"/>
      <c r="R119" s="545">
        <f>'[7]UNIDADES SIN USO'!B25</f>
        <v>-8727.3150860938895</v>
      </c>
      <c r="S119" s="545"/>
      <c r="T119" s="545"/>
      <c r="U119" s="546"/>
      <c r="V119" s="545"/>
      <c r="W119" s="545"/>
      <c r="X119" s="545"/>
      <c r="Y119" s="546"/>
      <c r="Z119" s="545">
        <f>'[9]UNIDADES SIN USO'!B25</f>
        <v>-10496.06198609389</v>
      </c>
      <c r="AA119" s="545"/>
      <c r="AB119" s="545"/>
      <c r="AC119" s="546"/>
      <c r="AD119" s="545">
        <f>'[10]UNIDADES SIN USO'!H17</f>
        <v>-386.16508609389035</v>
      </c>
      <c r="AE119" s="545"/>
      <c r="AF119" s="545"/>
      <c r="AG119" s="546"/>
      <c r="AH119" s="545">
        <f>'[11]UNIDADES SIN USO'!K17</f>
        <v>-26896.885086093891</v>
      </c>
      <c r="AI119" s="545"/>
      <c r="AJ119" s="545"/>
      <c r="AK119" s="546"/>
      <c r="AL119" s="545">
        <f>'[1]UNIDADES SIN USO'!K17</f>
        <v>-197.07508609389035</v>
      </c>
      <c r="AM119" s="545"/>
      <c r="AN119" s="545"/>
      <c r="AO119" s="546"/>
      <c r="AP119" s="545">
        <f>'[2]UNIDADES SIN USO'!N17</f>
        <v>-281.93165022137885</v>
      </c>
      <c r="AQ119" s="545"/>
      <c r="AR119" s="545"/>
      <c r="AS119" s="546"/>
      <c r="AT119" s="545">
        <f>'UNIDADES SIN USO'!B25</f>
        <v>-1181.9316502213787</v>
      </c>
      <c r="AU119" s="545"/>
      <c r="AV119" s="545"/>
      <c r="AW119" s="546"/>
    </row>
    <row r="120" spans="1:49" x14ac:dyDescent="0.25">
      <c r="A120" s="302" t="s">
        <v>243</v>
      </c>
      <c r="B120" s="582"/>
      <c r="C120" s="582"/>
      <c r="D120" s="582"/>
      <c r="E120" s="583"/>
      <c r="F120" s="545"/>
      <c r="G120" s="545"/>
      <c r="H120" s="545"/>
      <c r="I120" s="546"/>
      <c r="J120" s="545"/>
      <c r="K120" s="545"/>
      <c r="L120" s="545"/>
      <c r="M120" s="546"/>
      <c r="N120" s="545"/>
      <c r="O120" s="545"/>
      <c r="P120" s="545"/>
      <c r="Q120" s="546"/>
      <c r="R120" s="545"/>
      <c r="S120" s="545"/>
      <c r="T120" s="545"/>
      <c r="U120" s="546"/>
      <c r="V120" s="545"/>
      <c r="W120" s="545"/>
      <c r="X120" s="545"/>
      <c r="Y120" s="546"/>
      <c r="Z120" s="545"/>
      <c r="AA120" s="545"/>
      <c r="AB120" s="545"/>
      <c r="AC120" s="546"/>
      <c r="AD120" s="545"/>
      <c r="AE120" s="545"/>
      <c r="AF120" s="545"/>
      <c r="AG120" s="546"/>
      <c r="AH120" s="545"/>
      <c r="AI120" s="545"/>
      <c r="AJ120" s="545"/>
      <c r="AK120" s="546"/>
      <c r="AL120" s="545"/>
      <c r="AM120" s="545"/>
      <c r="AN120" s="545"/>
      <c r="AO120" s="546"/>
      <c r="AP120" s="545"/>
      <c r="AQ120" s="545"/>
      <c r="AR120" s="545"/>
      <c r="AS120" s="546"/>
      <c r="AT120" s="545">
        <f>'UNIDADES SIN USO'!E25</f>
        <v>-3020.901650221379</v>
      </c>
      <c r="AU120" s="545"/>
      <c r="AV120" s="545"/>
      <c r="AW120" s="546"/>
    </row>
    <row r="121" spans="1:49" x14ac:dyDescent="0.25">
      <c r="A121" s="302" t="s">
        <v>270</v>
      </c>
      <c r="B121" s="582"/>
      <c r="C121" s="582"/>
      <c r="D121" s="582"/>
      <c r="E121" s="583"/>
      <c r="F121" s="545"/>
      <c r="G121" s="545"/>
      <c r="H121" s="545"/>
      <c r="I121" s="546"/>
      <c r="J121" s="545"/>
      <c r="K121" s="545"/>
      <c r="L121" s="545"/>
      <c r="M121" s="546"/>
      <c r="N121" s="545"/>
      <c r="O121" s="545"/>
      <c r="P121" s="545"/>
      <c r="Q121" s="546"/>
      <c r="R121" s="545"/>
      <c r="S121" s="545"/>
      <c r="T121" s="545"/>
      <c r="U121" s="546"/>
      <c r="V121" s="545"/>
      <c r="W121" s="545"/>
      <c r="X121" s="545"/>
      <c r="Y121" s="546"/>
      <c r="Z121" s="545"/>
      <c r="AA121" s="545"/>
      <c r="AB121" s="545"/>
      <c r="AC121" s="546"/>
      <c r="AD121" s="545"/>
      <c r="AE121" s="545"/>
      <c r="AF121" s="545"/>
      <c r="AG121" s="546"/>
      <c r="AH121" s="545">
        <f>'[11]UNIDADES SIN USO'!N17</f>
        <v>-15679.90198609389</v>
      </c>
      <c r="AI121" s="545"/>
      <c r="AJ121" s="545"/>
      <c r="AK121" s="546"/>
      <c r="AL121" s="545"/>
      <c r="AM121" s="545"/>
      <c r="AN121" s="545"/>
      <c r="AO121" s="546"/>
      <c r="AP121" s="545"/>
      <c r="AQ121" s="545"/>
      <c r="AR121" s="545"/>
      <c r="AS121" s="546"/>
      <c r="AT121" s="545"/>
      <c r="AU121" s="545"/>
      <c r="AV121" s="545"/>
      <c r="AW121" s="546"/>
    </row>
    <row r="122" spans="1:49" x14ac:dyDescent="0.25">
      <c r="A122" s="302" t="s">
        <v>189</v>
      </c>
      <c r="B122" s="315"/>
      <c r="C122" s="315"/>
      <c r="D122" s="315"/>
      <c r="E122" s="316"/>
      <c r="F122" s="317"/>
      <c r="G122" s="317"/>
      <c r="H122" s="317"/>
      <c r="I122" s="318"/>
      <c r="J122" s="317"/>
      <c r="K122" s="317"/>
      <c r="L122" s="317"/>
      <c r="M122" s="318"/>
      <c r="N122" s="317"/>
      <c r="O122" s="317"/>
      <c r="P122" s="317"/>
      <c r="Q122" s="318"/>
      <c r="R122" s="317"/>
      <c r="S122" s="317"/>
      <c r="T122" s="317"/>
      <c r="U122" s="318"/>
      <c r="V122" s="317"/>
      <c r="W122" s="317"/>
      <c r="X122" s="317"/>
      <c r="Y122" s="318"/>
      <c r="Z122" s="317"/>
      <c r="AA122" s="317"/>
      <c r="AB122" s="317"/>
      <c r="AC122" s="318"/>
      <c r="AD122" s="317"/>
      <c r="AE122" s="317"/>
      <c r="AF122" s="317"/>
      <c r="AG122" s="318"/>
      <c r="AH122" s="545"/>
      <c r="AI122" s="545"/>
      <c r="AJ122" s="545"/>
      <c r="AK122" s="546"/>
      <c r="AL122" s="545"/>
      <c r="AM122" s="545"/>
      <c r="AN122" s="545"/>
      <c r="AO122" s="546"/>
      <c r="AP122" s="545">
        <f>'[2]UNIDADES SIN USO'!B25</f>
        <v>-85873.071650221376</v>
      </c>
      <c r="AQ122" s="545"/>
      <c r="AR122" s="545"/>
      <c r="AS122" s="546"/>
      <c r="AT122" s="545">
        <f>'UNIDADES SIN USO'!H25</f>
        <v>-24697.53565022138</v>
      </c>
      <c r="AU122" s="545"/>
      <c r="AV122" s="545"/>
      <c r="AW122" s="546"/>
    </row>
    <row r="123" spans="1:49" x14ac:dyDescent="0.25">
      <c r="A123" s="302" t="s">
        <v>80</v>
      </c>
      <c r="B123" s="582"/>
      <c r="C123" s="582"/>
      <c r="D123" s="582"/>
      <c r="E123" s="583"/>
      <c r="F123" s="545"/>
      <c r="G123" s="545"/>
      <c r="H123" s="545"/>
      <c r="I123" s="546"/>
      <c r="J123" s="545"/>
      <c r="K123" s="545"/>
      <c r="L123" s="545"/>
      <c r="M123" s="546"/>
      <c r="N123" s="545"/>
      <c r="O123" s="545"/>
      <c r="P123" s="545"/>
      <c r="Q123" s="546"/>
      <c r="R123" s="545"/>
      <c r="S123" s="545"/>
      <c r="T123" s="545"/>
      <c r="U123" s="546"/>
      <c r="V123" s="545"/>
      <c r="W123" s="545"/>
      <c r="X123" s="545"/>
      <c r="Y123" s="546"/>
      <c r="Z123" s="545"/>
      <c r="AA123" s="545"/>
      <c r="AB123" s="545"/>
      <c r="AC123" s="546"/>
      <c r="AD123" s="545"/>
      <c r="AE123" s="545"/>
      <c r="AF123" s="545"/>
      <c r="AG123" s="546"/>
      <c r="AH123" s="545"/>
      <c r="AI123" s="545"/>
      <c r="AJ123" s="545"/>
      <c r="AK123" s="546"/>
      <c r="AL123" s="545">
        <f>'[1]UNIDADES SIN USO'!N17</f>
        <v>-197.07508609389035</v>
      </c>
      <c r="AM123" s="545"/>
      <c r="AN123" s="545"/>
      <c r="AO123" s="546"/>
      <c r="AP123" s="545">
        <f>'[2]UNIDADES SIN USO'!E25</f>
        <v>-1465.131650221379</v>
      </c>
      <c r="AQ123" s="545"/>
      <c r="AR123" s="545"/>
      <c r="AS123" s="546"/>
      <c r="AT123" s="545"/>
      <c r="AU123" s="545"/>
      <c r="AV123" s="545"/>
      <c r="AW123" s="546"/>
    </row>
    <row r="124" spans="1:49" x14ac:dyDescent="0.25">
      <c r="A124" s="302" t="s">
        <v>286</v>
      </c>
      <c r="B124" s="582"/>
      <c r="C124" s="582"/>
      <c r="D124" s="582"/>
      <c r="E124" s="583"/>
      <c r="F124" s="545"/>
      <c r="G124" s="545"/>
      <c r="H124" s="545"/>
      <c r="I124" s="546"/>
      <c r="J124" s="545"/>
      <c r="K124" s="545"/>
      <c r="L124" s="545"/>
      <c r="M124" s="546"/>
      <c r="N124" s="545"/>
      <c r="O124" s="545"/>
      <c r="P124" s="545"/>
      <c r="Q124" s="546"/>
      <c r="R124" s="545"/>
      <c r="S124" s="545"/>
      <c r="T124" s="545"/>
      <c r="U124" s="546"/>
      <c r="V124" s="545"/>
      <c r="W124" s="545"/>
      <c r="X124" s="545"/>
      <c r="Y124" s="546"/>
      <c r="Z124" s="545"/>
      <c r="AA124" s="545"/>
      <c r="AB124" s="545"/>
      <c r="AC124" s="546"/>
      <c r="AD124" s="545"/>
      <c r="AE124" s="545"/>
      <c r="AF124" s="545"/>
      <c r="AG124" s="546"/>
      <c r="AH124" s="545"/>
      <c r="AI124" s="545"/>
      <c r="AJ124" s="545"/>
      <c r="AK124" s="546"/>
      <c r="AL124" s="545"/>
      <c r="AM124" s="545"/>
      <c r="AN124" s="545"/>
      <c r="AO124" s="546"/>
      <c r="AP124" s="545"/>
      <c r="AQ124" s="545"/>
      <c r="AR124" s="545"/>
      <c r="AS124" s="546"/>
      <c r="AT124" s="545"/>
      <c r="AU124" s="545"/>
      <c r="AV124" s="545"/>
      <c r="AW124" s="546"/>
    </row>
    <row r="125" spans="1:49" x14ac:dyDescent="0.25">
      <c r="A125" s="302" t="s">
        <v>179</v>
      </c>
      <c r="B125" s="582"/>
      <c r="C125" s="582"/>
      <c r="D125" s="582"/>
      <c r="E125" s="583"/>
      <c r="F125" s="545"/>
      <c r="G125" s="545"/>
      <c r="H125" s="545"/>
      <c r="I125" s="546"/>
      <c r="J125" s="545"/>
      <c r="K125" s="545"/>
      <c r="L125" s="545"/>
      <c r="M125" s="546"/>
      <c r="N125" s="545"/>
      <c r="O125" s="545"/>
      <c r="P125" s="545"/>
      <c r="Q125" s="546"/>
      <c r="R125" s="545"/>
      <c r="S125" s="545"/>
      <c r="T125" s="545"/>
      <c r="U125" s="546"/>
      <c r="V125" s="545"/>
      <c r="W125" s="545"/>
      <c r="X125" s="545"/>
      <c r="Y125" s="546"/>
      <c r="Z125" s="545"/>
      <c r="AA125" s="545"/>
      <c r="AB125" s="545"/>
      <c r="AC125" s="546"/>
      <c r="AD125" s="545">
        <f>'[10]UNIDADES SIN USO'!K17</f>
        <v>-38303.935086093887</v>
      </c>
      <c r="AE125" s="545"/>
      <c r="AF125" s="545"/>
      <c r="AG125" s="546"/>
      <c r="AH125" s="545"/>
      <c r="AI125" s="545"/>
      <c r="AJ125" s="545"/>
      <c r="AK125" s="546"/>
      <c r="AL125" s="545">
        <f>'[1]UNIDADES SIN USO'!B25</f>
        <v>-12787.105086093889</v>
      </c>
      <c r="AM125" s="545"/>
      <c r="AN125" s="545"/>
      <c r="AO125" s="546"/>
      <c r="AP125" s="545">
        <f>'[2]UNIDADES SIN USO'!H25</f>
        <v>-4119.5316502213791</v>
      </c>
      <c r="AQ125" s="545"/>
      <c r="AR125" s="545"/>
      <c r="AS125" s="546"/>
      <c r="AT125" s="545">
        <f>'UNIDADES SIN USO'!K25</f>
        <v>-2350.2716502213789</v>
      </c>
      <c r="AU125" s="545"/>
      <c r="AV125" s="545"/>
      <c r="AW125" s="546"/>
    </row>
    <row r="126" spans="1:49" x14ac:dyDescent="0.25">
      <c r="A126" s="302" t="s">
        <v>73</v>
      </c>
      <c r="B126" s="582"/>
      <c r="C126" s="582"/>
      <c r="D126" s="582"/>
      <c r="E126" s="583"/>
      <c r="F126" s="545"/>
      <c r="G126" s="545"/>
      <c r="H126" s="545"/>
      <c r="I126" s="546"/>
      <c r="J126" s="545"/>
      <c r="K126" s="545"/>
      <c r="L126" s="545"/>
      <c r="M126" s="546"/>
      <c r="N126" s="545"/>
      <c r="O126" s="545"/>
      <c r="P126" s="545"/>
      <c r="Q126" s="546"/>
      <c r="R126" s="545"/>
      <c r="S126" s="545"/>
      <c r="T126" s="545"/>
      <c r="U126" s="546"/>
      <c r="V126" s="545"/>
      <c r="W126" s="545"/>
      <c r="X126" s="545"/>
      <c r="Y126" s="546"/>
      <c r="Z126" s="545"/>
      <c r="AA126" s="545"/>
      <c r="AB126" s="545"/>
      <c r="AC126" s="546"/>
      <c r="AD126" s="545"/>
      <c r="AE126" s="545"/>
      <c r="AF126" s="545"/>
      <c r="AG126" s="546"/>
      <c r="AH126" s="545"/>
      <c r="AI126" s="545"/>
      <c r="AJ126" s="545"/>
      <c r="AK126" s="546"/>
      <c r="AL126" s="545"/>
      <c r="AM126" s="545"/>
      <c r="AN126" s="545"/>
      <c r="AO126" s="546"/>
      <c r="AP126" s="545"/>
      <c r="AQ126" s="545"/>
      <c r="AR126" s="545"/>
      <c r="AS126" s="546"/>
      <c r="AT126" s="545"/>
      <c r="AU126" s="545"/>
      <c r="AV126" s="545"/>
      <c r="AW126" s="546"/>
    </row>
    <row r="127" spans="1:49" x14ac:dyDescent="0.25">
      <c r="A127" s="302" t="s">
        <v>249</v>
      </c>
      <c r="B127" s="582"/>
      <c r="C127" s="582"/>
      <c r="D127" s="582"/>
      <c r="E127" s="583"/>
      <c r="F127" s="545"/>
      <c r="G127" s="545"/>
      <c r="H127" s="545"/>
      <c r="I127" s="546"/>
      <c r="J127" s="545"/>
      <c r="K127" s="545"/>
      <c r="L127" s="545"/>
      <c r="M127" s="546"/>
      <c r="N127" s="545"/>
      <c r="O127" s="545"/>
      <c r="P127" s="545"/>
      <c r="Q127" s="546"/>
      <c r="R127" s="545"/>
      <c r="S127" s="545"/>
      <c r="T127" s="545"/>
      <c r="U127" s="546"/>
      <c r="V127" s="545"/>
      <c r="W127" s="545"/>
      <c r="X127" s="545"/>
      <c r="Y127" s="546"/>
      <c r="Z127" s="545"/>
      <c r="AA127" s="545"/>
      <c r="AB127" s="545"/>
      <c r="AC127" s="546"/>
      <c r="AD127" s="545"/>
      <c r="AE127" s="545"/>
      <c r="AF127" s="545"/>
      <c r="AG127" s="546"/>
      <c r="AH127" s="545">
        <f>'[11]UNIDADES SIN USO'!B25</f>
        <v>-197.07508609389035</v>
      </c>
      <c r="AI127" s="545"/>
      <c r="AJ127" s="545"/>
      <c r="AK127" s="546"/>
      <c r="AL127" s="545">
        <f>'[1]UNIDADES SIN USO'!E25</f>
        <v>-823.68508609389039</v>
      </c>
      <c r="AM127" s="545"/>
      <c r="AN127" s="545"/>
      <c r="AO127" s="546"/>
      <c r="AP127" s="545">
        <f>'[2]UNIDADES SIN USO'!K25</f>
        <v>-10281.931650221379</v>
      </c>
      <c r="AQ127" s="545"/>
      <c r="AR127" s="545"/>
      <c r="AS127" s="546"/>
      <c r="AT127" s="545"/>
      <c r="AU127" s="545"/>
      <c r="AV127" s="545"/>
      <c r="AW127" s="546"/>
    </row>
    <row r="128" spans="1:49" x14ac:dyDescent="0.25">
      <c r="A128" s="302" t="s">
        <v>200</v>
      </c>
      <c r="B128" s="582">
        <f>'[3]UNIDADES SIN USO'!K17</f>
        <v>-10116.93508609389</v>
      </c>
      <c r="C128" s="582"/>
      <c r="D128" s="582"/>
      <c r="E128" s="583"/>
      <c r="F128" s="545">
        <f>'[4]UNIDADES SIN USO'!N17</f>
        <v>-192.07508609389035</v>
      </c>
      <c r="G128" s="545"/>
      <c r="H128" s="545"/>
      <c r="I128" s="546"/>
      <c r="J128" s="545">
        <f>'[5]UNIDADES SIN USO'!K17</f>
        <v>-897.07508609389038</v>
      </c>
      <c r="K128" s="545"/>
      <c r="L128" s="545"/>
      <c r="M128" s="546"/>
      <c r="N128" s="545">
        <f>'[6]UNIDADES SIN USO'!E25</f>
        <v>-197.07508609389035</v>
      </c>
      <c r="O128" s="545"/>
      <c r="P128" s="545"/>
      <c r="Q128" s="546"/>
      <c r="R128" s="545">
        <f>'[7]UNIDADES SIN USO'!E25</f>
        <v>-197.07508609389035</v>
      </c>
      <c r="S128" s="545"/>
      <c r="T128" s="545"/>
      <c r="U128" s="546"/>
      <c r="V128" s="545">
        <f>'[8]UNIDADES SIN USO'!E25</f>
        <v>-197.07508609389035</v>
      </c>
      <c r="W128" s="545"/>
      <c r="X128" s="545"/>
      <c r="Y128" s="546"/>
      <c r="Z128" s="545">
        <f>'[9]UNIDADES SIN USO'!E25</f>
        <v>-197.07508609389035</v>
      </c>
      <c r="AA128" s="545"/>
      <c r="AB128" s="545"/>
      <c r="AC128" s="546"/>
      <c r="AD128" s="545">
        <f>'[10]UNIDADES SIN USO'!N17</f>
        <v>-197.07508609389035</v>
      </c>
      <c r="AE128" s="545"/>
      <c r="AF128" s="545"/>
      <c r="AG128" s="546"/>
      <c r="AH128" s="545">
        <f>'[11]UNIDADES SIN USO'!E25</f>
        <v>-197.07508609389035</v>
      </c>
      <c r="AI128" s="545"/>
      <c r="AJ128" s="545"/>
      <c r="AK128" s="546"/>
      <c r="AL128" s="545"/>
      <c r="AM128" s="545"/>
      <c r="AN128" s="545"/>
      <c r="AO128" s="546"/>
      <c r="AP128" s="545"/>
      <c r="AQ128" s="545"/>
      <c r="AR128" s="545"/>
      <c r="AS128" s="546"/>
      <c r="AT128" s="545"/>
      <c r="AU128" s="545"/>
      <c r="AV128" s="545"/>
      <c r="AW128" s="546"/>
    </row>
    <row r="129" spans="1:49" x14ac:dyDescent="0.25">
      <c r="A129" s="302" t="s">
        <v>289</v>
      </c>
      <c r="B129" s="582"/>
      <c r="C129" s="582"/>
      <c r="D129" s="582"/>
      <c r="E129" s="583"/>
      <c r="F129" s="584"/>
      <c r="G129" s="582"/>
      <c r="H129" s="582"/>
      <c r="I129" s="583"/>
      <c r="J129" s="584">
        <f>'[5]UNIDADES SIN USO'!B25</f>
        <v>-5004.7950860938899</v>
      </c>
      <c r="K129" s="582"/>
      <c r="L129" s="582"/>
      <c r="M129" s="583"/>
      <c r="N129" s="545"/>
      <c r="O129" s="545"/>
      <c r="P129" s="545"/>
      <c r="Q129" s="546"/>
      <c r="R129" s="545">
        <f>'[7]UNIDADES SIN USO'!H25</f>
        <v>-882876.07508609386</v>
      </c>
      <c r="S129" s="545"/>
      <c r="T129" s="545"/>
      <c r="U129" s="546"/>
      <c r="V129" s="545"/>
      <c r="W129" s="545"/>
      <c r="X129" s="545"/>
      <c r="Y129" s="546"/>
      <c r="Z129" s="545"/>
      <c r="AA129" s="545"/>
      <c r="AB129" s="545"/>
      <c r="AC129" s="546"/>
      <c r="AD129" s="545">
        <f>'[10]UNIDADES SIN USO'!B25</f>
        <v>-203667.79508609386</v>
      </c>
      <c r="AE129" s="545"/>
      <c r="AF129" s="545"/>
      <c r="AG129" s="546"/>
      <c r="AH129" s="545">
        <f>'[11]UNIDADES SIN USO'!H25</f>
        <v>-5231.9850860938905</v>
      </c>
      <c r="AI129" s="545"/>
      <c r="AJ129" s="545"/>
      <c r="AK129" s="546"/>
      <c r="AL129" s="545">
        <f>'[1]UNIDADES SIN USO'!H25</f>
        <v>-90819.575086093886</v>
      </c>
      <c r="AM129" s="545"/>
      <c r="AN129" s="545"/>
      <c r="AO129" s="546"/>
      <c r="AP129" s="545"/>
      <c r="AQ129" s="545"/>
      <c r="AR129" s="545"/>
      <c r="AS129" s="546"/>
      <c r="AT129" s="545"/>
      <c r="AU129" s="545"/>
      <c r="AV129" s="545"/>
      <c r="AW129" s="546"/>
    </row>
    <row r="130" spans="1:49" x14ac:dyDescent="0.25">
      <c r="A130" s="302" t="s">
        <v>106</v>
      </c>
      <c r="B130" s="582"/>
      <c r="C130" s="582"/>
      <c r="D130" s="582"/>
      <c r="E130" s="583"/>
      <c r="F130" s="545"/>
      <c r="G130" s="545"/>
      <c r="H130" s="545"/>
      <c r="I130" s="546"/>
      <c r="J130" s="545"/>
      <c r="K130" s="545"/>
      <c r="L130" s="545"/>
      <c r="M130" s="546"/>
      <c r="N130" s="545"/>
      <c r="O130" s="545"/>
      <c r="P130" s="545"/>
      <c r="Q130" s="546"/>
      <c r="R130" s="545"/>
      <c r="S130" s="545"/>
      <c r="T130" s="545"/>
      <c r="U130" s="546"/>
      <c r="V130" s="545"/>
      <c r="W130" s="545"/>
      <c r="X130" s="545"/>
      <c r="Y130" s="546"/>
      <c r="Z130" s="545"/>
      <c r="AA130" s="545"/>
      <c r="AB130" s="545"/>
      <c r="AC130" s="546"/>
      <c r="AD130" s="545"/>
      <c r="AE130" s="545"/>
      <c r="AF130" s="545"/>
      <c r="AG130" s="546"/>
      <c r="AH130" s="545"/>
      <c r="AI130" s="545"/>
      <c r="AJ130" s="545"/>
      <c r="AK130" s="546"/>
      <c r="AL130" s="545"/>
      <c r="AM130" s="545"/>
      <c r="AN130" s="545"/>
      <c r="AO130" s="546"/>
      <c r="AP130" s="545"/>
      <c r="AQ130" s="545"/>
      <c r="AR130" s="545"/>
      <c r="AS130" s="546"/>
      <c r="AT130" s="545"/>
      <c r="AU130" s="545"/>
      <c r="AV130" s="545"/>
      <c r="AW130" s="546"/>
    </row>
    <row r="131" spans="1:49" x14ac:dyDescent="0.25">
      <c r="A131" s="302" t="s">
        <v>183</v>
      </c>
      <c r="B131" s="582"/>
      <c r="C131" s="582"/>
      <c r="D131" s="582"/>
      <c r="E131" s="583"/>
      <c r="F131" s="545"/>
      <c r="G131" s="545"/>
      <c r="H131" s="545"/>
      <c r="I131" s="546"/>
      <c r="J131" s="545"/>
      <c r="K131" s="545"/>
      <c r="L131" s="545"/>
      <c r="M131" s="546"/>
      <c r="N131" s="545"/>
      <c r="O131" s="545"/>
      <c r="P131" s="545"/>
      <c r="Q131" s="546"/>
      <c r="R131" s="545"/>
      <c r="S131" s="545"/>
      <c r="T131" s="545"/>
      <c r="U131" s="546"/>
      <c r="V131" s="545"/>
      <c r="W131" s="545"/>
      <c r="X131" s="545"/>
      <c r="Y131" s="546"/>
      <c r="Z131" s="545"/>
      <c r="AA131" s="545"/>
      <c r="AB131" s="545"/>
      <c r="AC131" s="546"/>
      <c r="AD131" s="545"/>
      <c r="AE131" s="545"/>
      <c r="AF131" s="545"/>
      <c r="AG131" s="546"/>
      <c r="AH131" s="545"/>
      <c r="AI131" s="545"/>
      <c r="AJ131" s="545"/>
      <c r="AK131" s="546"/>
      <c r="AL131" s="545"/>
      <c r="AM131" s="545"/>
      <c r="AN131" s="545"/>
      <c r="AO131" s="546"/>
      <c r="AP131" s="545"/>
      <c r="AQ131" s="545"/>
      <c r="AR131" s="545"/>
      <c r="AS131" s="546"/>
      <c r="AT131" s="545"/>
      <c r="AU131" s="545"/>
      <c r="AV131" s="545"/>
      <c r="AW131" s="546"/>
    </row>
    <row r="132" spans="1:49" x14ac:dyDescent="0.25">
      <c r="A132" s="302" t="s">
        <v>471</v>
      </c>
      <c r="B132" s="315"/>
      <c r="C132" s="315"/>
      <c r="D132" s="315"/>
      <c r="E132" s="316"/>
      <c r="F132" s="317"/>
      <c r="G132" s="317"/>
      <c r="H132" s="317"/>
      <c r="I132" s="318"/>
      <c r="J132" s="317"/>
      <c r="K132" s="317"/>
      <c r="L132" s="317"/>
      <c r="M132" s="318"/>
      <c r="N132" s="317"/>
      <c r="O132" s="317"/>
      <c r="P132" s="317"/>
      <c r="Q132" s="318"/>
      <c r="R132" s="317"/>
      <c r="S132" s="317"/>
      <c r="T132" s="317"/>
      <c r="U132" s="318"/>
      <c r="V132" s="317"/>
      <c r="W132" s="317"/>
      <c r="X132" s="317"/>
      <c r="Y132" s="318"/>
      <c r="Z132" s="317"/>
      <c r="AA132" s="317"/>
      <c r="AB132" s="317"/>
      <c r="AC132" s="318"/>
      <c r="AD132" s="545"/>
      <c r="AE132" s="545"/>
      <c r="AF132" s="545"/>
      <c r="AG132" s="546"/>
      <c r="AH132" s="545"/>
      <c r="AI132" s="545"/>
      <c r="AJ132" s="545"/>
      <c r="AK132" s="546"/>
      <c r="AL132" s="545">
        <f>'[1]UNIDADES SIN USO'!K25</f>
        <v>-981170.60508609377</v>
      </c>
      <c r="AM132" s="545"/>
      <c r="AN132" s="545"/>
      <c r="AO132" s="546"/>
      <c r="AP132" s="545">
        <f>'[2]UNIDADES SIN USO'!N25</f>
        <v>-281.93165022137885</v>
      </c>
      <c r="AQ132" s="545"/>
      <c r="AR132" s="545"/>
      <c r="AS132" s="546"/>
      <c r="AT132" s="545">
        <f>'UNIDADES SIN USO'!N25</f>
        <v>-381.93165022137885</v>
      </c>
      <c r="AU132" s="545"/>
      <c r="AV132" s="545"/>
      <c r="AW132" s="546"/>
    </row>
    <row r="133" spans="1:49" x14ac:dyDescent="0.25">
      <c r="A133" s="302" t="s">
        <v>253</v>
      </c>
      <c r="B133" s="582"/>
      <c r="C133" s="582"/>
      <c r="D133" s="582"/>
      <c r="E133" s="583"/>
      <c r="F133" s="545"/>
      <c r="G133" s="545"/>
      <c r="H133" s="545"/>
      <c r="I133" s="546"/>
      <c r="J133" s="545">
        <f>'[5]UNIDADES SIN USO'!E25</f>
        <v>-529.27508609389042</v>
      </c>
      <c r="K133" s="545"/>
      <c r="L133" s="545"/>
      <c r="M133" s="546"/>
      <c r="N133" s="545"/>
      <c r="O133" s="545"/>
      <c r="P133" s="545"/>
      <c r="Q133" s="546"/>
      <c r="R133" s="545"/>
      <c r="S133" s="545"/>
      <c r="T133" s="545"/>
      <c r="U133" s="546"/>
      <c r="V133" s="545"/>
      <c r="W133" s="545"/>
      <c r="X133" s="545"/>
      <c r="Y133" s="546"/>
      <c r="Z133" s="545"/>
      <c r="AA133" s="545"/>
      <c r="AB133" s="545"/>
      <c r="AC133" s="546"/>
      <c r="AD133" s="545"/>
      <c r="AE133" s="545"/>
      <c r="AF133" s="545"/>
      <c r="AG133" s="546"/>
      <c r="AH133" s="545"/>
      <c r="AI133" s="545"/>
      <c r="AJ133" s="545"/>
      <c r="AK133" s="546"/>
      <c r="AL133" s="545"/>
      <c r="AM133" s="545"/>
      <c r="AN133" s="545"/>
      <c r="AO133" s="546"/>
      <c r="AP133" s="545"/>
      <c r="AQ133" s="545"/>
      <c r="AR133" s="545"/>
      <c r="AS133" s="546"/>
      <c r="AT133" s="545"/>
      <c r="AU133" s="545"/>
      <c r="AV133" s="545"/>
      <c r="AW133" s="546"/>
    </row>
    <row r="134" spans="1:49" x14ac:dyDescent="0.25">
      <c r="A134" s="302" t="s">
        <v>317</v>
      </c>
      <c r="B134" s="315"/>
      <c r="C134" s="315"/>
      <c r="D134" s="315"/>
      <c r="E134" s="316"/>
      <c r="F134" s="317"/>
      <c r="G134" s="317"/>
      <c r="H134" s="317"/>
      <c r="I134" s="318"/>
      <c r="J134" s="317"/>
      <c r="K134" s="317"/>
      <c r="L134" s="317"/>
      <c r="M134" s="318"/>
      <c r="N134" s="545"/>
      <c r="O134" s="545"/>
      <c r="P134" s="545"/>
      <c r="Q134" s="546"/>
      <c r="R134" s="545"/>
      <c r="S134" s="545"/>
      <c r="T134" s="545"/>
      <c r="U134" s="546"/>
      <c r="V134" s="545">
        <f>'[8]UNIDADES SIN USO'!H25</f>
        <v>-919629.07508609386</v>
      </c>
      <c r="W134" s="545"/>
      <c r="X134" s="545"/>
      <c r="Y134" s="546"/>
      <c r="Z134" s="545">
        <f>'[9]UNIDADES SIN USO'!H25</f>
        <v>-197.07508609389035</v>
      </c>
      <c r="AA134" s="545"/>
      <c r="AB134" s="545"/>
      <c r="AC134" s="546"/>
      <c r="AD134" s="545">
        <f>'[10]UNIDADES SIN USO'!E25</f>
        <v>-127078.89288609389</v>
      </c>
      <c r="AE134" s="545"/>
      <c r="AF134" s="545"/>
      <c r="AG134" s="546"/>
      <c r="AH134" s="545">
        <f>'[11]UNIDADES SIN USO'!K25</f>
        <v>-38756.002286093892</v>
      </c>
      <c r="AI134" s="545"/>
      <c r="AJ134" s="545"/>
      <c r="AK134" s="546"/>
      <c r="AL134" s="545"/>
      <c r="AM134" s="545"/>
      <c r="AN134" s="545"/>
      <c r="AO134" s="546"/>
      <c r="AP134" s="545"/>
      <c r="AQ134" s="545"/>
      <c r="AR134" s="545"/>
      <c r="AS134" s="546"/>
      <c r="AT134" s="545"/>
      <c r="AU134" s="545"/>
      <c r="AV134" s="545"/>
      <c r="AW134" s="546"/>
    </row>
    <row r="135" spans="1:49" x14ac:dyDescent="0.25">
      <c r="A135" s="302" t="s">
        <v>225</v>
      </c>
      <c r="B135" s="582">
        <f>'[3]UNIDADES SIN USO'!B25</f>
        <v>-5647.591752760557</v>
      </c>
      <c r="C135" s="582"/>
      <c r="D135" s="582"/>
      <c r="E135" s="583"/>
      <c r="F135" s="545"/>
      <c r="G135" s="545"/>
      <c r="H135" s="545"/>
      <c r="I135" s="546"/>
      <c r="J135" s="545"/>
      <c r="K135" s="545"/>
      <c r="L135" s="545"/>
      <c r="M135" s="546"/>
      <c r="N135" s="545"/>
      <c r="O135" s="545"/>
      <c r="P135" s="545"/>
      <c r="Q135" s="546"/>
      <c r="R135" s="545"/>
      <c r="S135" s="545"/>
      <c r="T135" s="545"/>
      <c r="U135" s="546"/>
      <c r="V135" s="545"/>
      <c r="W135" s="545"/>
      <c r="X135" s="545"/>
      <c r="Y135" s="546"/>
      <c r="Z135" s="545"/>
      <c r="AA135" s="545"/>
      <c r="AB135" s="545"/>
      <c r="AC135" s="546"/>
      <c r="AD135" s="545"/>
      <c r="AE135" s="545"/>
      <c r="AF135" s="545"/>
      <c r="AG135" s="546"/>
      <c r="AH135" s="545"/>
      <c r="AI135" s="545"/>
      <c r="AJ135" s="545"/>
      <c r="AK135" s="546"/>
      <c r="AL135" s="545"/>
      <c r="AM135" s="545"/>
      <c r="AN135" s="545"/>
      <c r="AO135" s="546"/>
      <c r="AP135" s="545"/>
      <c r="AQ135" s="545"/>
      <c r="AR135" s="545"/>
      <c r="AS135" s="546"/>
      <c r="AT135" s="545"/>
      <c r="AU135" s="545"/>
      <c r="AV135" s="545"/>
      <c r="AW135" s="546"/>
    </row>
    <row r="136" spans="1:49" x14ac:dyDescent="0.25">
      <c r="A136" s="302" t="s">
        <v>151</v>
      </c>
      <c r="B136" s="582"/>
      <c r="C136" s="582"/>
      <c r="D136" s="582"/>
      <c r="E136" s="583"/>
      <c r="F136" s="545"/>
      <c r="G136" s="545"/>
      <c r="H136" s="545"/>
      <c r="I136" s="546"/>
      <c r="J136" s="545"/>
      <c r="K136" s="545"/>
      <c r="L136" s="545"/>
      <c r="M136" s="546"/>
      <c r="N136" s="545"/>
      <c r="O136" s="545"/>
      <c r="P136" s="545"/>
      <c r="Q136" s="546"/>
      <c r="R136" s="545"/>
      <c r="S136" s="545"/>
      <c r="T136" s="545"/>
      <c r="U136" s="546"/>
      <c r="V136" s="545"/>
      <c r="W136" s="545"/>
      <c r="X136" s="545"/>
      <c r="Y136" s="546"/>
      <c r="Z136" s="545"/>
      <c r="AA136" s="545"/>
      <c r="AB136" s="545"/>
      <c r="AC136" s="546"/>
      <c r="AD136" s="545"/>
      <c r="AE136" s="545"/>
      <c r="AF136" s="545"/>
      <c r="AG136" s="546"/>
      <c r="AH136" s="545">
        <f>'[11]UNIDADES SIN USO'!N25</f>
        <v>-847.07508609389038</v>
      </c>
      <c r="AI136" s="545"/>
      <c r="AJ136" s="545"/>
      <c r="AK136" s="546"/>
      <c r="AL136" s="545">
        <f>'[1]UNIDADES SIN USO'!N25</f>
        <v>-962053.82508609386</v>
      </c>
      <c r="AM136" s="545"/>
      <c r="AN136" s="545"/>
      <c r="AO136" s="546"/>
      <c r="AP136" s="545"/>
      <c r="AQ136" s="545"/>
      <c r="AR136" s="545"/>
      <c r="AS136" s="546"/>
      <c r="AT136" s="545"/>
      <c r="AU136" s="545"/>
      <c r="AV136" s="545"/>
      <c r="AW136" s="546"/>
    </row>
    <row r="137" spans="1:49" x14ac:dyDescent="0.25">
      <c r="A137" s="302" t="s">
        <v>463</v>
      </c>
      <c r="B137" s="315"/>
      <c r="C137" s="315"/>
      <c r="D137" s="315"/>
      <c r="E137" s="316"/>
      <c r="F137" s="317"/>
      <c r="G137" s="317"/>
      <c r="H137" s="317"/>
      <c r="I137" s="318"/>
      <c r="J137" s="317"/>
      <c r="K137" s="317"/>
      <c r="L137" s="317"/>
      <c r="M137" s="318"/>
      <c r="N137" s="317"/>
      <c r="O137" s="317"/>
      <c r="P137" s="317"/>
      <c r="Q137" s="318"/>
      <c r="R137" s="317"/>
      <c r="S137" s="317"/>
      <c r="T137" s="317"/>
      <c r="U137" s="318"/>
      <c r="V137" s="317"/>
      <c r="W137" s="317"/>
      <c r="X137" s="317"/>
      <c r="Y137" s="318"/>
      <c r="Z137" s="317"/>
      <c r="AA137" s="317"/>
      <c r="AB137" s="317"/>
      <c r="AC137" s="318"/>
      <c r="AD137" s="317"/>
      <c r="AE137" s="317"/>
      <c r="AF137" s="317"/>
      <c r="AG137" s="318"/>
      <c r="AH137" s="317"/>
      <c r="AI137" s="317"/>
      <c r="AJ137" s="317"/>
      <c r="AK137" s="318"/>
      <c r="AL137" s="545"/>
      <c r="AM137" s="545"/>
      <c r="AN137" s="545"/>
      <c r="AO137" s="546"/>
      <c r="AP137" s="545"/>
      <c r="AQ137" s="545"/>
      <c r="AR137" s="545"/>
      <c r="AS137" s="546"/>
      <c r="AT137" s="545">
        <f>'UNIDADES SIN USO'!B33</f>
        <v>-641.93165022137885</v>
      </c>
      <c r="AU137" s="545"/>
      <c r="AV137" s="545"/>
      <c r="AW137" s="546"/>
    </row>
    <row r="138" spans="1:49" x14ac:dyDescent="0.25">
      <c r="A138" s="302" t="s">
        <v>66</v>
      </c>
      <c r="B138" s="582"/>
      <c r="C138" s="582"/>
      <c r="D138" s="582"/>
      <c r="E138" s="583"/>
      <c r="F138" s="545">
        <f>'[4]UNIDADES SIN USO'!B25</f>
        <v>-18744.538419427223</v>
      </c>
      <c r="G138" s="545"/>
      <c r="H138" s="545"/>
      <c r="I138" s="546"/>
      <c r="J138" s="545"/>
      <c r="K138" s="545"/>
      <c r="L138" s="545"/>
      <c r="M138" s="546"/>
      <c r="N138" s="545"/>
      <c r="O138" s="545"/>
      <c r="P138" s="545"/>
      <c r="Q138" s="546"/>
      <c r="R138" s="545"/>
      <c r="S138" s="545"/>
      <c r="T138" s="545"/>
      <c r="U138" s="546"/>
      <c r="V138" s="545"/>
      <c r="W138" s="545"/>
      <c r="X138" s="545"/>
      <c r="Y138" s="546"/>
      <c r="Z138" s="545"/>
      <c r="AA138" s="545"/>
      <c r="AB138" s="545"/>
      <c r="AC138" s="546"/>
      <c r="AD138" s="545"/>
      <c r="AE138" s="545"/>
      <c r="AF138" s="545"/>
      <c r="AG138" s="546"/>
      <c r="AH138" s="545"/>
      <c r="AI138" s="545"/>
      <c r="AJ138" s="545"/>
      <c r="AK138" s="546"/>
      <c r="AL138" s="545"/>
      <c r="AM138" s="545"/>
      <c r="AN138" s="545"/>
      <c r="AO138" s="546"/>
      <c r="AP138" s="545"/>
      <c r="AQ138" s="545"/>
      <c r="AR138" s="545"/>
      <c r="AS138" s="546"/>
      <c r="AT138" s="545"/>
      <c r="AU138" s="545"/>
      <c r="AV138" s="545"/>
      <c r="AW138" s="546"/>
    </row>
    <row r="139" spans="1:49" x14ac:dyDescent="0.25">
      <c r="A139" s="302" t="s">
        <v>450</v>
      </c>
      <c r="B139" s="582">
        <f>'[3]UNIDADES SIN USO'!H25</f>
        <v>-1910.4384194272236</v>
      </c>
      <c r="C139" s="582"/>
      <c r="D139" s="582"/>
      <c r="E139" s="583"/>
      <c r="F139" s="545">
        <f>'[4]UNIDADES SIN USO'!E25</f>
        <v>-1489.6784194272236</v>
      </c>
      <c r="G139" s="545"/>
      <c r="H139" s="545"/>
      <c r="I139" s="546"/>
      <c r="J139" s="545">
        <f>'[5]UNIDADES SIN USO'!H25</f>
        <v>-2749.3350860938904</v>
      </c>
      <c r="K139" s="545"/>
      <c r="L139" s="545"/>
      <c r="M139" s="546"/>
      <c r="N139" s="545">
        <f>'[6]UNIDADES SIN USO'!H25</f>
        <v>-1778.8450860938904</v>
      </c>
      <c r="O139" s="545"/>
      <c r="P139" s="545"/>
      <c r="Q139" s="546"/>
      <c r="R139" s="545">
        <f>'[7]UNIDADES SIN USO'!K25</f>
        <v>-1813.3650860938903</v>
      </c>
      <c r="S139" s="545"/>
      <c r="T139" s="545"/>
      <c r="U139" s="546"/>
      <c r="V139" s="545">
        <f>'[8]UNIDADES SIN USO'!K25</f>
        <v>-2003.3950860938903</v>
      </c>
      <c r="W139" s="545"/>
      <c r="X139" s="545"/>
      <c r="Y139" s="546"/>
      <c r="Z139" s="545">
        <f>'[9]UNIDADES SIN USO'!K25</f>
        <v>-11893.161986093892</v>
      </c>
      <c r="AA139" s="545"/>
      <c r="AB139" s="545"/>
      <c r="AC139" s="546"/>
      <c r="AD139" s="545">
        <f>'[10]UNIDADES SIN USO'!H25</f>
        <v>-4692.7250860938902</v>
      </c>
      <c r="AE139" s="545"/>
      <c r="AF139" s="545"/>
      <c r="AG139" s="546"/>
      <c r="AH139" s="545">
        <f>'[11]UNIDADES SIN USO'!B33</f>
        <v>-2180.1650860938903</v>
      </c>
      <c r="AI139" s="545"/>
      <c r="AJ139" s="545"/>
      <c r="AK139" s="546"/>
      <c r="AL139" s="545">
        <f>'[1]UNIDADES SIN USO'!E33</f>
        <v>-2133.1750860938905</v>
      </c>
      <c r="AM139" s="545"/>
      <c r="AN139" s="545"/>
      <c r="AO139" s="546"/>
      <c r="AP139" s="545">
        <f>'[2]UNIDADES SIN USO'!E33</f>
        <v>-939.54165022137886</v>
      </c>
      <c r="AQ139" s="545"/>
      <c r="AR139" s="545"/>
      <c r="AS139" s="546"/>
      <c r="AT139" s="545">
        <f>'UNIDADES SIN USO'!H33</f>
        <v>-2192.151650221379</v>
      </c>
      <c r="AU139" s="545"/>
      <c r="AV139" s="545"/>
      <c r="AW139" s="546"/>
    </row>
    <row r="140" spans="1:49" x14ac:dyDescent="0.25">
      <c r="A140" s="302" t="s">
        <v>452</v>
      </c>
      <c r="B140" s="582">
        <f>'[3]UNIDADES SIN USO'!K25</f>
        <v>-4092.4384194272234</v>
      </c>
      <c r="C140" s="582"/>
      <c r="D140" s="582"/>
      <c r="E140" s="583"/>
      <c r="F140" s="545">
        <f>'[4]UNIDADES SIN USO'!H25</f>
        <v>-1489.6784194272236</v>
      </c>
      <c r="G140" s="545"/>
      <c r="H140" s="545"/>
      <c r="I140" s="546"/>
      <c r="J140" s="545">
        <f>'[5]UNIDADES SIN USO'!K25</f>
        <v>-2749.3350860938904</v>
      </c>
      <c r="K140" s="545"/>
      <c r="L140" s="545"/>
      <c r="M140" s="546"/>
      <c r="N140" s="545">
        <f>'[6]UNIDADES SIN USO'!K25</f>
        <v>-1778.8450860938904</v>
      </c>
      <c r="O140" s="545"/>
      <c r="P140" s="545"/>
      <c r="Q140" s="546"/>
      <c r="R140" s="545"/>
      <c r="S140" s="545"/>
      <c r="T140" s="545"/>
      <c r="U140" s="546"/>
      <c r="V140" s="545">
        <f>'[8]UNIDADES SIN USO'!N25</f>
        <v>-2003.3950860938903</v>
      </c>
      <c r="W140" s="545"/>
      <c r="X140" s="545"/>
      <c r="Y140" s="546"/>
      <c r="Z140" s="545">
        <f>'[9]UNIDADES SIN USO'!N25</f>
        <v>-12569.191986093891</v>
      </c>
      <c r="AA140" s="545"/>
      <c r="AB140" s="545"/>
      <c r="AC140" s="546"/>
      <c r="AD140" s="545">
        <f>'[10]UNIDADES SIN USO'!K25</f>
        <v>-2042.7250860938902</v>
      </c>
      <c r="AE140" s="545"/>
      <c r="AF140" s="545"/>
      <c r="AG140" s="546"/>
      <c r="AH140" s="545">
        <f>'[11]UNIDADES SIN USO'!E33</f>
        <v>-2180.1650860938903</v>
      </c>
      <c r="AI140" s="545"/>
      <c r="AJ140" s="545"/>
      <c r="AK140" s="546"/>
      <c r="AL140" s="545">
        <f>'[1]UNIDADES SIN USO'!H33</f>
        <v>-2133.1750860938905</v>
      </c>
      <c r="AM140" s="545"/>
      <c r="AN140" s="545"/>
      <c r="AO140" s="546"/>
      <c r="AP140" s="545">
        <f>'[2]UNIDADES SIN USO'!H33</f>
        <v>-2218.0316502213791</v>
      </c>
      <c r="AQ140" s="545"/>
      <c r="AR140" s="545"/>
      <c r="AS140" s="546"/>
      <c r="AT140" s="545">
        <f>'UNIDADES SIN USO'!K33</f>
        <v>-2192.151650221379</v>
      </c>
      <c r="AU140" s="545"/>
      <c r="AV140" s="545"/>
      <c r="AW140" s="546"/>
    </row>
    <row r="141" spans="1:49" ht="15.75" thickBot="1" x14ac:dyDescent="0.3">
      <c r="A141" s="302" t="s">
        <v>283</v>
      </c>
      <c r="B141" s="580"/>
      <c r="C141" s="580"/>
      <c r="D141" s="580"/>
      <c r="E141" s="581"/>
      <c r="F141" s="545"/>
      <c r="G141" s="545"/>
      <c r="H141" s="545"/>
      <c r="I141" s="546"/>
      <c r="J141" s="545"/>
      <c r="K141" s="545"/>
      <c r="L141" s="545"/>
      <c r="M141" s="546"/>
      <c r="N141" s="545"/>
      <c r="O141" s="545"/>
      <c r="P141" s="545"/>
      <c r="Q141" s="546"/>
      <c r="R141" s="545"/>
      <c r="S141" s="545"/>
      <c r="T141" s="545"/>
      <c r="U141" s="546"/>
      <c r="V141" s="545"/>
      <c r="W141" s="545"/>
      <c r="X141" s="545"/>
      <c r="Y141" s="546"/>
      <c r="Z141" s="545"/>
      <c r="AA141" s="545"/>
      <c r="AB141" s="545"/>
      <c r="AC141" s="546"/>
      <c r="AD141" s="545"/>
      <c r="AE141" s="545"/>
      <c r="AF141" s="545"/>
      <c r="AG141" s="546"/>
      <c r="AH141" s="545"/>
      <c r="AI141" s="545"/>
      <c r="AJ141" s="545"/>
      <c r="AK141" s="546"/>
      <c r="AL141" s="545">
        <f>'[1]UNIDADES SIN USO'!K33</f>
        <v>-1789.9317527605572</v>
      </c>
      <c r="AM141" s="545"/>
      <c r="AN141" s="545"/>
      <c r="AO141" s="546"/>
      <c r="AP141" s="545"/>
      <c r="AQ141" s="545"/>
      <c r="AR141" s="545"/>
      <c r="AS141" s="546"/>
      <c r="AT141" s="545"/>
      <c r="AU141" s="545"/>
      <c r="AV141" s="545"/>
      <c r="AW141" s="546"/>
    </row>
    <row r="142" spans="1:49" ht="15.75" thickBot="1" x14ac:dyDescent="0.3">
      <c r="A142" s="302" t="s">
        <v>258</v>
      </c>
      <c r="B142" s="320"/>
      <c r="C142" s="320"/>
      <c r="D142" s="320"/>
      <c r="E142" s="321"/>
      <c r="F142" s="322"/>
      <c r="G142" s="322"/>
      <c r="H142" s="322"/>
      <c r="I142" s="323"/>
      <c r="J142" s="322"/>
      <c r="K142" s="322"/>
      <c r="L142" s="322"/>
      <c r="M142" s="323"/>
      <c r="N142" s="322"/>
      <c r="O142" s="322"/>
      <c r="P142" s="322"/>
      <c r="Q142" s="323"/>
      <c r="R142" s="322"/>
      <c r="S142" s="322"/>
      <c r="T142" s="322"/>
      <c r="U142" s="323"/>
      <c r="V142" s="317"/>
      <c r="W142" s="317"/>
      <c r="X142" s="317"/>
      <c r="Y142" s="318"/>
      <c r="Z142" s="317"/>
      <c r="AA142" s="317"/>
      <c r="AB142" s="317"/>
      <c r="AC142" s="318"/>
      <c r="AD142" s="317"/>
      <c r="AE142" s="317"/>
      <c r="AF142" s="317"/>
      <c r="AG142" s="318"/>
      <c r="AH142" s="545"/>
      <c r="AI142" s="545"/>
      <c r="AJ142" s="545"/>
      <c r="AK142" s="546"/>
      <c r="AL142" s="545"/>
      <c r="AM142" s="545"/>
      <c r="AN142" s="545"/>
      <c r="AO142" s="546"/>
      <c r="AP142" s="545">
        <f>'[2]UNIDADES SIN USO'!K33</f>
        <v>-2573.3749835547123</v>
      </c>
      <c r="AQ142" s="545"/>
      <c r="AR142" s="545"/>
      <c r="AS142" s="546"/>
      <c r="AT142" s="545"/>
      <c r="AU142" s="545"/>
      <c r="AV142" s="545"/>
      <c r="AW142" s="546"/>
    </row>
    <row r="143" spans="1:49" ht="15.75" thickBot="1" x14ac:dyDescent="0.3">
      <c r="A143" s="302" t="s">
        <v>204</v>
      </c>
      <c r="B143" s="320"/>
      <c r="C143" s="320"/>
      <c r="D143" s="320"/>
      <c r="E143" s="321"/>
      <c r="F143" s="322"/>
      <c r="G143" s="322"/>
      <c r="H143" s="322"/>
      <c r="I143" s="323"/>
      <c r="J143" s="322"/>
      <c r="K143" s="322"/>
      <c r="L143" s="322"/>
      <c r="M143" s="323"/>
      <c r="N143" s="322"/>
      <c r="O143" s="322"/>
      <c r="P143" s="322"/>
      <c r="Q143" s="323"/>
      <c r="R143" s="322"/>
      <c r="S143" s="322"/>
      <c r="T143" s="322"/>
      <c r="U143" s="323"/>
      <c r="V143" s="545"/>
      <c r="W143" s="545"/>
      <c r="X143" s="545"/>
      <c r="Y143" s="546"/>
      <c r="Z143" s="545"/>
      <c r="AA143" s="545"/>
      <c r="AB143" s="545"/>
      <c r="AC143" s="546"/>
      <c r="AD143" s="545">
        <f>'[10]UNIDADES SIN USO'!N25</f>
        <v>-3258.7584194272235</v>
      </c>
      <c r="AE143" s="545"/>
      <c r="AF143" s="545"/>
      <c r="AG143" s="546"/>
      <c r="AH143" s="545">
        <f>'[11]UNIDADES SIN USO'!H33</f>
        <v>-5507.4384194272234</v>
      </c>
      <c r="AI143" s="545"/>
      <c r="AJ143" s="545"/>
      <c r="AK143" s="546"/>
      <c r="AL143" s="545"/>
      <c r="AM143" s="545"/>
      <c r="AN143" s="545"/>
      <c r="AO143" s="546"/>
      <c r="AP143" s="545"/>
      <c r="AQ143" s="545"/>
      <c r="AR143" s="545"/>
      <c r="AS143" s="546"/>
      <c r="AT143" s="545"/>
      <c r="AU143" s="545"/>
      <c r="AV143" s="545"/>
      <c r="AW143" s="546"/>
    </row>
    <row r="144" spans="1:49" ht="15.75" thickBot="1" x14ac:dyDescent="0.3">
      <c r="A144" s="303" t="s">
        <v>100</v>
      </c>
      <c r="B144" s="320"/>
      <c r="C144" s="320"/>
      <c r="D144" s="320"/>
      <c r="E144" s="321"/>
      <c r="F144" s="322"/>
      <c r="G144" s="322"/>
      <c r="H144" s="322"/>
      <c r="I144" s="323"/>
      <c r="J144" s="322"/>
      <c r="K144" s="322"/>
      <c r="L144" s="322"/>
      <c r="M144" s="323"/>
      <c r="N144" s="322"/>
      <c r="O144" s="322"/>
      <c r="P144" s="322"/>
      <c r="Q144" s="323"/>
      <c r="R144" s="322"/>
      <c r="S144" s="322"/>
      <c r="T144" s="322"/>
      <c r="U144" s="323"/>
      <c r="V144" s="545"/>
      <c r="W144" s="545"/>
      <c r="X144" s="545"/>
      <c r="Y144" s="546"/>
      <c r="Z144" s="545"/>
      <c r="AA144" s="545"/>
      <c r="AB144" s="545"/>
      <c r="AC144" s="546"/>
      <c r="AD144" s="545">
        <f>'[10]UNIDADES SIN USO'!B33</f>
        <v>-4015.8517527605572</v>
      </c>
      <c r="AE144" s="545"/>
      <c r="AF144" s="545"/>
      <c r="AG144" s="546"/>
      <c r="AH144" s="545">
        <f>'[11]UNIDADES SIN USO'!K33</f>
        <v>-7318.7117527605569</v>
      </c>
      <c r="AI144" s="545"/>
      <c r="AJ144" s="545"/>
      <c r="AK144" s="546"/>
      <c r="AL144" s="545">
        <f>'[1]UNIDADES SIN USO'!N33</f>
        <v>-132443.05175276057</v>
      </c>
      <c r="AM144" s="545"/>
      <c r="AN144" s="545"/>
      <c r="AO144" s="546"/>
      <c r="AP144" s="545">
        <f>'[2]UNIDADES SIN USO'!N33</f>
        <v>2156.3878121442121</v>
      </c>
      <c r="AQ144" s="545"/>
      <c r="AR144" s="545"/>
      <c r="AS144" s="546"/>
      <c r="AT144" s="545"/>
      <c r="AU144" s="545"/>
      <c r="AV144" s="545"/>
      <c r="AW144" s="546"/>
    </row>
    <row r="145" spans="1:49" s="148" customFormat="1" ht="15.75" thickBot="1" x14ac:dyDescent="0.3">
      <c r="A145" s="294" t="s">
        <v>1094</v>
      </c>
      <c r="B145" s="547">
        <f>SUM(B102:E141)</f>
        <v>-51019.828447032785</v>
      </c>
      <c r="C145" s="548"/>
      <c r="D145" s="548"/>
      <c r="E145" s="549"/>
      <c r="F145" s="547">
        <f>SUM(F102:I141)</f>
        <v>-33616.607785887238</v>
      </c>
      <c r="G145" s="548"/>
      <c r="H145" s="548"/>
      <c r="I145" s="549"/>
      <c r="J145" s="547">
        <f>SUM(J102:M141)</f>
        <v>-20007.455947032795</v>
      </c>
      <c r="K145" s="548"/>
      <c r="L145" s="548"/>
      <c r="M145" s="549"/>
      <c r="N145" s="547">
        <f>SUM(N102:Q141)</f>
        <v>-12692.64261369946</v>
      </c>
      <c r="O145" s="548"/>
      <c r="P145" s="548"/>
      <c r="Q145" s="549"/>
      <c r="R145" s="547">
        <f>SUM(R102:U141)</f>
        <v>-905994.79278588726</v>
      </c>
      <c r="S145" s="548"/>
      <c r="T145" s="548"/>
      <c r="U145" s="549"/>
      <c r="V145" s="547">
        <f>SUM(V102:Y141)</f>
        <v>-1020087.3836192206</v>
      </c>
      <c r="W145" s="548"/>
      <c r="X145" s="548"/>
      <c r="Y145" s="549"/>
      <c r="Z145" s="547">
        <f>SUM(Z102:AC141)</f>
        <v>-77861.967652553911</v>
      </c>
      <c r="AA145" s="548"/>
      <c r="AB145" s="548"/>
      <c r="AC145" s="549"/>
      <c r="AD145" s="547">
        <f>SUM(AD102:AG141)</f>
        <v>-603630.74725255393</v>
      </c>
      <c r="AE145" s="548"/>
      <c r="AF145" s="548"/>
      <c r="AG145" s="549"/>
      <c r="AH145" s="547">
        <f>SUM(AH102:AK141)</f>
        <v>-266472.14530531445</v>
      </c>
      <c r="AI145" s="548"/>
      <c r="AJ145" s="548"/>
      <c r="AK145" s="549"/>
      <c r="AL145" s="547">
        <f>SUM(AL102:AO144)</f>
        <v>-2237581.8114635963</v>
      </c>
      <c r="AM145" s="548"/>
      <c r="AN145" s="548"/>
      <c r="AO145" s="549"/>
      <c r="AP145" s="547">
        <f>SUM(AP102:AS144)</f>
        <v>-134842.794356673</v>
      </c>
      <c r="AQ145" s="548"/>
      <c r="AR145" s="548"/>
      <c r="AS145" s="549"/>
      <c r="AT145" s="547">
        <f>SUM(AT102:AW144)</f>
        <v>-63076.788935483863</v>
      </c>
      <c r="AU145" s="548"/>
      <c r="AV145" s="548"/>
      <c r="AW145" s="549"/>
    </row>
    <row r="146" spans="1:49" s="148" customFormat="1" ht="15.75" thickBot="1" x14ac:dyDescent="0.3">
      <c r="A146" s="294" t="s">
        <v>1096</v>
      </c>
      <c r="B146" s="547">
        <v>122254.86</v>
      </c>
      <c r="C146" s="548"/>
      <c r="D146" s="548"/>
      <c r="E146" s="549"/>
      <c r="F146" s="547">
        <f>F145-B145</f>
        <v>17403.220661145548</v>
      </c>
      <c r="G146" s="548"/>
      <c r="H146" s="548"/>
      <c r="I146" s="549"/>
      <c r="J146" s="547">
        <f>J145-F145</f>
        <v>13609.151838854443</v>
      </c>
      <c r="K146" s="548"/>
      <c r="L146" s="548"/>
      <c r="M146" s="549"/>
      <c r="N146" s="547">
        <f>N145-J145</f>
        <v>7314.8133333333353</v>
      </c>
      <c r="O146" s="548"/>
      <c r="P146" s="548"/>
      <c r="Q146" s="549"/>
      <c r="R146" s="547">
        <f>R145-N145</f>
        <v>-893302.15017218783</v>
      </c>
      <c r="S146" s="548"/>
      <c r="T146" s="548"/>
      <c r="U146" s="549"/>
      <c r="V146" s="547">
        <f>V145-R145</f>
        <v>-114092.59083333332</v>
      </c>
      <c r="W146" s="548"/>
      <c r="X146" s="548"/>
      <c r="Y146" s="549"/>
      <c r="Z146" s="547">
        <f>Z145-V145</f>
        <v>942225.41596666665</v>
      </c>
      <c r="AA146" s="548"/>
      <c r="AB146" s="548"/>
      <c r="AC146" s="549"/>
      <c r="AD146" s="547">
        <f>AD145-Z145</f>
        <v>-525768.77960000001</v>
      </c>
      <c r="AE146" s="548"/>
      <c r="AF146" s="548"/>
      <c r="AG146" s="549"/>
      <c r="AH146" s="547">
        <f>AH145-AD145</f>
        <v>337158.60194723948</v>
      </c>
      <c r="AI146" s="548"/>
      <c r="AJ146" s="548"/>
      <c r="AK146" s="549"/>
      <c r="AL146" s="547">
        <f>AL145-AH145</f>
        <v>-1971109.6661582817</v>
      </c>
      <c r="AM146" s="548"/>
      <c r="AN146" s="548"/>
      <c r="AO146" s="549"/>
      <c r="AP146" s="547">
        <f>AP145-AL145</f>
        <v>2102739.0171069233</v>
      </c>
      <c r="AQ146" s="548"/>
      <c r="AR146" s="548"/>
      <c r="AS146" s="549"/>
      <c r="AT146" s="547">
        <f>AT145-AP145</f>
        <v>71766.005421189126</v>
      </c>
      <c r="AU146" s="548"/>
      <c r="AV146" s="548"/>
      <c r="AW146" s="549"/>
    </row>
  </sheetData>
  <mergeCells count="885">
    <mergeCell ref="B7:E7"/>
    <mergeCell ref="F7:I7"/>
    <mergeCell ref="J7:M7"/>
    <mergeCell ref="N7:Q7"/>
    <mergeCell ref="R7:U7"/>
    <mergeCell ref="V7:Y7"/>
    <mergeCell ref="Z7:AC7"/>
    <mergeCell ref="AL3:AO3"/>
    <mergeCell ref="AP3:AS3"/>
    <mergeCell ref="B4:E4"/>
    <mergeCell ref="F4:I4"/>
    <mergeCell ref="J4:M4"/>
    <mergeCell ref="N4:Q4"/>
    <mergeCell ref="R4:U4"/>
    <mergeCell ref="V4:Y4"/>
    <mergeCell ref="Z4:AC4"/>
    <mergeCell ref="AD4:AG4"/>
    <mergeCell ref="B3:E3"/>
    <mergeCell ref="F3:I3"/>
    <mergeCell ref="J3:M3"/>
    <mergeCell ref="N3:Q3"/>
    <mergeCell ref="R3:U3"/>
    <mergeCell ref="V3:Y3"/>
    <mergeCell ref="Z3:AC3"/>
    <mergeCell ref="AD5:AG5"/>
    <mergeCell ref="AH5:AK5"/>
    <mergeCell ref="AL5:AO5"/>
    <mergeCell ref="AP5:AS5"/>
    <mergeCell ref="Z5:AC5"/>
    <mergeCell ref="AD3:AG3"/>
    <mergeCell ref="AH3:AK3"/>
    <mergeCell ref="AH4:AK4"/>
    <mergeCell ref="AL4:AO4"/>
    <mergeCell ref="AP4:AS4"/>
    <mergeCell ref="B6:E6"/>
    <mergeCell ref="F6:I6"/>
    <mergeCell ref="J6:M6"/>
    <mergeCell ref="N6:Q6"/>
    <mergeCell ref="R6:U6"/>
    <mergeCell ref="V6:Y6"/>
    <mergeCell ref="B5:E5"/>
    <mergeCell ref="F5:I5"/>
    <mergeCell ref="J5:M5"/>
    <mergeCell ref="N5:Q5"/>
    <mergeCell ref="R5:U5"/>
    <mergeCell ref="V5:Y5"/>
    <mergeCell ref="AD7:AG7"/>
    <mergeCell ref="AH7:AK7"/>
    <mergeCell ref="AL7:AO7"/>
    <mergeCell ref="AP7:AS7"/>
    <mergeCell ref="Z6:AC6"/>
    <mergeCell ref="AD6:AG6"/>
    <mergeCell ref="AH6:AK6"/>
    <mergeCell ref="AL6:AO6"/>
    <mergeCell ref="AP6:AS6"/>
    <mergeCell ref="Z8:AC8"/>
    <mergeCell ref="AD8:AG8"/>
    <mergeCell ref="AH8:AK8"/>
    <mergeCell ref="AL8:AO8"/>
    <mergeCell ref="AP8:AS8"/>
    <mergeCell ref="A9:A10"/>
    <mergeCell ref="B9:E10"/>
    <mergeCell ref="F9:I10"/>
    <mergeCell ref="J9:M10"/>
    <mergeCell ref="N9:Q10"/>
    <mergeCell ref="B8:E8"/>
    <mergeCell ref="F8:I8"/>
    <mergeCell ref="J8:M8"/>
    <mergeCell ref="N8:Q8"/>
    <mergeCell ref="R8:U8"/>
    <mergeCell ref="V8:Y8"/>
    <mergeCell ref="AP9:AS10"/>
    <mergeCell ref="R9:U10"/>
    <mergeCell ref="V9:Y10"/>
    <mergeCell ref="Z9:AC10"/>
    <mergeCell ref="AD9:AG10"/>
    <mergeCell ref="AH9:AK10"/>
    <mergeCell ref="AL9:AO10"/>
    <mergeCell ref="B11:E11"/>
    <mergeCell ref="F11:I11"/>
    <mergeCell ref="J11:M11"/>
    <mergeCell ref="N11:Q11"/>
    <mergeCell ref="R11:U11"/>
    <mergeCell ref="V11:Y11"/>
    <mergeCell ref="Z11:AC11"/>
    <mergeCell ref="AD11:AG11"/>
    <mergeCell ref="AH11:AK11"/>
    <mergeCell ref="Z14:AC14"/>
    <mergeCell ref="AP17:AS17"/>
    <mergeCell ref="R17:U17"/>
    <mergeCell ref="J12:M12"/>
    <mergeCell ref="N12:Q12"/>
    <mergeCell ref="R12:U12"/>
    <mergeCell ref="V12:Y12"/>
    <mergeCell ref="Z12:AC12"/>
    <mergeCell ref="AD12:AG12"/>
    <mergeCell ref="V17:Y17"/>
    <mergeCell ref="Z17:AC17"/>
    <mergeCell ref="AD17:AG17"/>
    <mergeCell ref="AH17:AK17"/>
    <mergeCell ref="AL17:AO17"/>
    <mergeCell ref="F15:I15"/>
    <mergeCell ref="J15:M15"/>
    <mergeCell ref="N15:Q15"/>
    <mergeCell ref="R15:U15"/>
    <mergeCell ref="V15:Y15"/>
    <mergeCell ref="B14:E14"/>
    <mergeCell ref="F14:I14"/>
    <mergeCell ref="J14:M14"/>
    <mergeCell ref="N14:Q14"/>
    <mergeCell ref="R14:U14"/>
    <mergeCell ref="V14:Y14"/>
    <mergeCell ref="L41:L42"/>
    <mergeCell ref="M41:M42"/>
    <mergeCell ref="P41:P42"/>
    <mergeCell ref="Q41:Q42"/>
    <mergeCell ref="T41:T42"/>
    <mergeCell ref="A17:A18"/>
    <mergeCell ref="B17:E17"/>
    <mergeCell ref="F17:I17"/>
    <mergeCell ref="J17:M17"/>
    <mergeCell ref="N17:Q17"/>
    <mergeCell ref="D41:D42"/>
    <mergeCell ref="E41:E42"/>
    <mergeCell ref="H41:H42"/>
    <mergeCell ref="I41:I42"/>
    <mergeCell ref="AS41:AS42"/>
    <mergeCell ref="A44:A45"/>
    <mergeCell ref="B44:E44"/>
    <mergeCell ref="F44:I44"/>
    <mergeCell ref="J44:M44"/>
    <mergeCell ref="N44:Q44"/>
    <mergeCell ref="R44:U44"/>
    <mergeCell ref="V44:Y44"/>
    <mergeCell ref="Z44:AC44"/>
    <mergeCell ref="AD44:AG44"/>
    <mergeCell ref="AG41:AG42"/>
    <mergeCell ref="AJ41:AJ42"/>
    <mergeCell ref="AK41:AK42"/>
    <mergeCell ref="AN41:AN42"/>
    <mergeCell ref="AO41:AO42"/>
    <mergeCell ref="AR41:AR42"/>
    <mergeCell ref="U41:U42"/>
    <mergeCell ref="X41:X42"/>
    <mergeCell ref="Y41:Y42"/>
    <mergeCell ref="AB41:AB42"/>
    <mergeCell ref="AC41:AC42"/>
    <mergeCell ref="AF41:AF42"/>
    <mergeCell ref="AH44:AK44"/>
    <mergeCell ref="AL44:AO44"/>
    <mergeCell ref="AP44:AS44"/>
    <mergeCell ref="D61:D62"/>
    <mergeCell ref="E61:E62"/>
    <mergeCell ref="H61:H62"/>
    <mergeCell ref="I61:I62"/>
    <mergeCell ref="L61:L62"/>
    <mergeCell ref="M61:M62"/>
    <mergeCell ref="P61:P62"/>
    <mergeCell ref="AO61:AO62"/>
    <mergeCell ref="AR61:AR62"/>
    <mergeCell ref="AS61:AS62"/>
    <mergeCell ref="AG61:AG62"/>
    <mergeCell ref="AJ61:AJ62"/>
    <mergeCell ref="AK61:AK62"/>
    <mergeCell ref="AN61:AN62"/>
    <mergeCell ref="A64:A65"/>
    <mergeCell ref="B64:E64"/>
    <mergeCell ref="F64:I64"/>
    <mergeCell ref="J64:M64"/>
    <mergeCell ref="N64:Q64"/>
    <mergeCell ref="R64:U64"/>
    <mergeCell ref="V64:Y64"/>
    <mergeCell ref="AC61:AC62"/>
    <mergeCell ref="AF61:AF62"/>
    <mergeCell ref="Q61:Q62"/>
    <mergeCell ref="T61:T62"/>
    <mergeCell ref="U61:U62"/>
    <mergeCell ref="X61:X62"/>
    <mergeCell ref="Y61:Y62"/>
    <mergeCell ref="AB61:AB62"/>
    <mergeCell ref="Z64:AC64"/>
    <mergeCell ref="AD64:AG64"/>
    <mergeCell ref="AH64:AK64"/>
    <mergeCell ref="AL64:AO64"/>
    <mergeCell ref="AP64:AS64"/>
    <mergeCell ref="D87:D88"/>
    <mergeCell ref="E87:E88"/>
    <mergeCell ref="H87:H88"/>
    <mergeCell ref="I87:I88"/>
    <mergeCell ref="L87:L88"/>
    <mergeCell ref="AK87:AK88"/>
    <mergeCell ref="AN87:AN88"/>
    <mergeCell ref="AO87:AO88"/>
    <mergeCell ref="AR87:AR88"/>
    <mergeCell ref="AS87:AS88"/>
    <mergeCell ref="AG87:AG88"/>
    <mergeCell ref="AJ87:AJ88"/>
    <mergeCell ref="A90:A91"/>
    <mergeCell ref="B90:E90"/>
    <mergeCell ref="F90:I90"/>
    <mergeCell ref="J90:M90"/>
    <mergeCell ref="N90:Q90"/>
    <mergeCell ref="Y87:Y88"/>
    <mergeCell ref="AB87:AB88"/>
    <mergeCell ref="AC87:AC88"/>
    <mergeCell ref="AF87:AF88"/>
    <mergeCell ref="M87:M88"/>
    <mergeCell ref="P87:P88"/>
    <mergeCell ref="Q87:Q88"/>
    <mergeCell ref="T87:T88"/>
    <mergeCell ref="U87:U88"/>
    <mergeCell ref="X87:X88"/>
    <mergeCell ref="AP90:AS90"/>
    <mergeCell ref="B91:E91"/>
    <mergeCell ref="F91:I91"/>
    <mergeCell ref="J91:M91"/>
    <mergeCell ref="N91:Q91"/>
    <mergeCell ref="R91:U91"/>
    <mergeCell ref="V91:Y91"/>
    <mergeCell ref="Z91:AC91"/>
    <mergeCell ref="AD91:AG91"/>
    <mergeCell ref="AH91:AK91"/>
    <mergeCell ref="R90:U90"/>
    <mergeCell ref="V90:Y90"/>
    <mergeCell ref="Z90:AC90"/>
    <mergeCell ref="AD90:AG90"/>
    <mergeCell ref="AH90:AK90"/>
    <mergeCell ref="AL90:AO90"/>
    <mergeCell ref="AL91:AO91"/>
    <mergeCell ref="AP91:AS91"/>
    <mergeCell ref="AL92:AM92"/>
    <mergeCell ref="AP92:AQ92"/>
    <mergeCell ref="B93:C93"/>
    <mergeCell ref="F93:G93"/>
    <mergeCell ref="J93:K93"/>
    <mergeCell ref="N93:O93"/>
    <mergeCell ref="R93:S93"/>
    <mergeCell ref="V93:W93"/>
    <mergeCell ref="Z93:AA93"/>
    <mergeCell ref="B92:C92"/>
    <mergeCell ref="F92:G92"/>
    <mergeCell ref="J92:K92"/>
    <mergeCell ref="N92:O92"/>
    <mergeCell ref="R92:S92"/>
    <mergeCell ref="V92:W92"/>
    <mergeCell ref="Z92:AA92"/>
    <mergeCell ref="AD92:AE92"/>
    <mergeCell ref="AH92:AI92"/>
    <mergeCell ref="B95:C95"/>
    <mergeCell ref="F95:G95"/>
    <mergeCell ref="J95:K95"/>
    <mergeCell ref="N95:O95"/>
    <mergeCell ref="R95:S95"/>
    <mergeCell ref="AD93:AE93"/>
    <mergeCell ref="AH93:AI93"/>
    <mergeCell ref="AL93:AM93"/>
    <mergeCell ref="AP93:AQ93"/>
    <mergeCell ref="B94:C94"/>
    <mergeCell ref="F94:G94"/>
    <mergeCell ref="J94:K94"/>
    <mergeCell ref="N94:O94"/>
    <mergeCell ref="R94:S94"/>
    <mergeCell ref="V94:W94"/>
    <mergeCell ref="V95:W95"/>
    <mergeCell ref="Z95:AA95"/>
    <mergeCell ref="AD95:AE95"/>
    <mergeCell ref="AH95:AI95"/>
    <mergeCell ref="AL95:AM95"/>
    <mergeCell ref="AP95:AQ95"/>
    <mergeCell ref="Z94:AA94"/>
    <mergeCell ref="AD94:AE94"/>
    <mergeCell ref="AH94:AI94"/>
    <mergeCell ref="AL94:AM94"/>
    <mergeCell ref="AP94:AQ94"/>
    <mergeCell ref="Z96:AA96"/>
    <mergeCell ref="AD96:AE96"/>
    <mergeCell ref="AH96:AI96"/>
    <mergeCell ref="AL96:AM96"/>
    <mergeCell ref="AP96:AQ96"/>
    <mergeCell ref="B97:C97"/>
    <mergeCell ref="D97:D98"/>
    <mergeCell ref="E97:E98"/>
    <mergeCell ref="F97:G97"/>
    <mergeCell ref="H97:H98"/>
    <mergeCell ref="B96:C96"/>
    <mergeCell ref="F96:G96"/>
    <mergeCell ref="J96:K96"/>
    <mergeCell ref="N96:O96"/>
    <mergeCell ref="R96:S96"/>
    <mergeCell ref="V96:W96"/>
    <mergeCell ref="AP98:AQ98"/>
    <mergeCell ref="AO97:AO98"/>
    <mergeCell ref="AP97:AQ97"/>
    <mergeCell ref="Q97:Q98"/>
    <mergeCell ref="R97:S97"/>
    <mergeCell ref="T97:T98"/>
    <mergeCell ref="AR97:AR98"/>
    <mergeCell ref="AS97:AS98"/>
    <mergeCell ref="B98:C98"/>
    <mergeCell ref="F98:G98"/>
    <mergeCell ref="J98:K98"/>
    <mergeCell ref="N98:O98"/>
    <mergeCell ref="R98:S98"/>
    <mergeCell ref="V98:W98"/>
    <mergeCell ref="AG97:AG98"/>
    <mergeCell ref="AH97:AI97"/>
    <mergeCell ref="AJ97:AJ98"/>
    <mergeCell ref="AK97:AK98"/>
    <mergeCell ref="AL97:AM97"/>
    <mergeCell ref="AN97:AN98"/>
    <mergeCell ref="AH98:AI98"/>
    <mergeCell ref="AL98:AM98"/>
    <mergeCell ref="Y97:Y98"/>
    <mergeCell ref="Z97:AA97"/>
    <mergeCell ref="AB97:AB98"/>
    <mergeCell ref="AC97:AC98"/>
    <mergeCell ref="AD97:AE97"/>
    <mergeCell ref="AF97:AF98"/>
    <mergeCell ref="Z98:AA98"/>
    <mergeCell ref="AD98:AE98"/>
    <mergeCell ref="A100:A101"/>
    <mergeCell ref="B100:E100"/>
    <mergeCell ref="F100:I100"/>
    <mergeCell ref="J100:M100"/>
    <mergeCell ref="N100:Q100"/>
    <mergeCell ref="R100:U100"/>
    <mergeCell ref="V100:Y100"/>
    <mergeCell ref="Z100:AC100"/>
    <mergeCell ref="AD100:AG100"/>
    <mergeCell ref="U97:U98"/>
    <mergeCell ref="V97:W97"/>
    <mergeCell ref="X97:X98"/>
    <mergeCell ref="I97:I98"/>
    <mergeCell ref="J97:K97"/>
    <mergeCell ref="L97:L98"/>
    <mergeCell ref="M97:M98"/>
    <mergeCell ref="N97:O97"/>
    <mergeCell ref="P97:P98"/>
    <mergeCell ref="AH100:AK100"/>
    <mergeCell ref="AL100:AO100"/>
    <mergeCell ref="AP100:AS100"/>
    <mergeCell ref="B101:E101"/>
    <mergeCell ref="F101:I101"/>
    <mergeCell ref="J101:M101"/>
    <mergeCell ref="N101:Q101"/>
    <mergeCell ref="R101:U101"/>
    <mergeCell ref="V101:Y101"/>
    <mergeCell ref="Z101:AC101"/>
    <mergeCell ref="B103:E103"/>
    <mergeCell ref="F103:I103"/>
    <mergeCell ref="J103:M103"/>
    <mergeCell ref="N103:Q103"/>
    <mergeCell ref="R103:U103"/>
    <mergeCell ref="AD101:AG101"/>
    <mergeCell ref="AH101:AK101"/>
    <mergeCell ref="AL101:AO101"/>
    <mergeCell ref="AP101:AS101"/>
    <mergeCell ref="B102:E102"/>
    <mergeCell ref="F102:I102"/>
    <mergeCell ref="J102:M102"/>
    <mergeCell ref="N102:Q102"/>
    <mergeCell ref="R102:U102"/>
    <mergeCell ref="V102:Y102"/>
    <mergeCell ref="V103:Y103"/>
    <mergeCell ref="Z103:AC103"/>
    <mergeCell ref="AD103:AG103"/>
    <mergeCell ref="AH103:AK103"/>
    <mergeCell ref="AL103:AO103"/>
    <mergeCell ref="AP103:AS103"/>
    <mergeCell ref="Z102:AC102"/>
    <mergeCell ref="AD102:AG102"/>
    <mergeCell ref="AH102:AK102"/>
    <mergeCell ref="AL102:AO102"/>
    <mergeCell ref="AP102:AS102"/>
    <mergeCell ref="B105:E105"/>
    <mergeCell ref="F105:I105"/>
    <mergeCell ref="J105:M105"/>
    <mergeCell ref="N105:Q105"/>
    <mergeCell ref="R105:U105"/>
    <mergeCell ref="B104:E104"/>
    <mergeCell ref="F104:I104"/>
    <mergeCell ref="J104:M104"/>
    <mergeCell ref="N104:Q104"/>
    <mergeCell ref="R104:U104"/>
    <mergeCell ref="V105:Y105"/>
    <mergeCell ref="Z105:AC105"/>
    <mergeCell ref="AD105:AG105"/>
    <mergeCell ref="AH105:AK105"/>
    <mergeCell ref="AL105:AO105"/>
    <mergeCell ref="AP105:AS105"/>
    <mergeCell ref="Z104:AC104"/>
    <mergeCell ref="AD104:AG104"/>
    <mergeCell ref="AH104:AK104"/>
    <mergeCell ref="AL104:AO104"/>
    <mergeCell ref="AP104:AS104"/>
    <mergeCell ref="V104:Y104"/>
    <mergeCell ref="AL107:AO107"/>
    <mergeCell ref="AP107:AS107"/>
    <mergeCell ref="Z106:AC106"/>
    <mergeCell ref="AD106:AG106"/>
    <mergeCell ref="AH106:AK106"/>
    <mergeCell ref="AL106:AO106"/>
    <mergeCell ref="AP106:AS106"/>
    <mergeCell ref="B107:E107"/>
    <mergeCell ref="F107:I107"/>
    <mergeCell ref="J107:M107"/>
    <mergeCell ref="N107:Q107"/>
    <mergeCell ref="R107:U107"/>
    <mergeCell ref="B106:E106"/>
    <mergeCell ref="F106:I106"/>
    <mergeCell ref="J106:M106"/>
    <mergeCell ref="N106:Q106"/>
    <mergeCell ref="R106:U106"/>
    <mergeCell ref="V106:Y106"/>
    <mergeCell ref="N108:Q108"/>
    <mergeCell ref="R108:U108"/>
    <mergeCell ref="V108:Y108"/>
    <mergeCell ref="Z108:AC108"/>
    <mergeCell ref="AD108:AG108"/>
    <mergeCell ref="AH108:AK108"/>
    <mergeCell ref="V107:Y107"/>
    <mergeCell ref="Z107:AC107"/>
    <mergeCell ref="AD107:AG107"/>
    <mergeCell ref="AH107:AK107"/>
    <mergeCell ref="V110:Y110"/>
    <mergeCell ref="Z110:AC110"/>
    <mergeCell ref="AD110:AG110"/>
    <mergeCell ref="AH110:AK110"/>
    <mergeCell ref="AL110:AO110"/>
    <mergeCell ref="AP110:AS110"/>
    <mergeCell ref="AL108:AO108"/>
    <mergeCell ref="AP108:AS108"/>
    <mergeCell ref="V109:Y109"/>
    <mergeCell ref="Z109:AC109"/>
    <mergeCell ref="AD109:AG109"/>
    <mergeCell ref="AH109:AK109"/>
    <mergeCell ref="AL109:AO109"/>
    <mergeCell ref="AP109:AS109"/>
    <mergeCell ref="B112:E112"/>
    <mergeCell ref="F112:I112"/>
    <mergeCell ref="J112:M112"/>
    <mergeCell ref="N112:Q112"/>
    <mergeCell ref="R112:U112"/>
    <mergeCell ref="B111:E111"/>
    <mergeCell ref="F111:I111"/>
    <mergeCell ref="J111:M111"/>
    <mergeCell ref="N111:Q111"/>
    <mergeCell ref="R111:U111"/>
    <mergeCell ref="V112:Y112"/>
    <mergeCell ref="Z112:AC112"/>
    <mergeCell ref="AD112:AG112"/>
    <mergeCell ref="AH112:AK112"/>
    <mergeCell ref="AL112:AO112"/>
    <mergeCell ref="AP112:AS112"/>
    <mergeCell ref="Z111:AC111"/>
    <mergeCell ref="AD111:AG111"/>
    <mergeCell ref="AH111:AK111"/>
    <mergeCell ref="AL111:AO111"/>
    <mergeCell ref="AP111:AS111"/>
    <mergeCell ref="V111:Y111"/>
    <mergeCell ref="B114:E114"/>
    <mergeCell ref="F114:I114"/>
    <mergeCell ref="J114:M114"/>
    <mergeCell ref="N114:Q114"/>
    <mergeCell ref="R114:U114"/>
    <mergeCell ref="B113:E113"/>
    <mergeCell ref="F113:I113"/>
    <mergeCell ref="J113:M113"/>
    <mergeCell ref="N113:Q113"/>
    <mergeCell ref="R113:U113"/>
    <mergeCell ref="V114:Y114"/>
    <mergeCell ref="Z114:AC114"/>
    <mergeCell ref="AD114:AG114"/>
    <mergeCell ref="AH114:AK114"/>
    <mergeCell ref="AL114:AO114"/>
    <mergeCell ref="AP114:AS114"/>
    <mergeCell ref="Z113:AC113"/>
    <mergeCell ref="AD113:AG113"/>
    <mergeCell ref="AH113:AK113"/>
    <mergeCell ref="AL113:AO113"/>
    <mergeCell ref="AP113:AS113"/>
    <mergeCell ref="V113:Y113"/>
    <mergeCell ref="B116:E116"/>
    <mergeCell ref="F116:I116"/>
    <mergeCell ref="J116:M116"/>
    <mergeCell ref="N116:Q116"/>
    <mergeCell ref="R116:U116"/>
    <mergeCell ref="B115:E115"/>
    <mergeCell ref="F115:I115"/>
    <mergeCell ref="J115:M115"/>
    <mergeCell ref="N115:Q115"/>
    <mergeCell ref="R115:U115"/>
    <mergeCell ref="V116:Y116"/>
    <mergeCell ref="Z116:AC116"/>
    <mergeCell ref="AD116:AG116"/>
    <mergeCell ref="AH116:AK116"/>
    <mergeCell ref="AL116:AO116"/>
    <mergeCell ref="AP116:AS116"/>
    <mergeCell ref="Z115:AC115"/>
    <mergeCell ref="AD115:AG115"/>
    <mergeCell ref="AH115:AK115"/>
    <mergeCell ref="AL115:AO115"/>
    <mergeCell ref="AP115:AS115"/>
    <mergeCell ref="V115:Y115"/>
    <mergeCell ref="B118:E118"/>
    <mergeCell ref="F118:I118"/>
    <mergeCell ref="J118:M118"/>
    <mergeCell ref="N118:Q118"/>
    <mergeCell ref="R118:U118"/>
    <mergeCell ref="B117:E117"/>
    <mergeCell ref="F117:I117"/>
    <mergeCell ref="J117:M117"/>
    <mergeCell ref="N117:Q117"/>
    <mergeCell ref="R117:U117"/>
    <mergeCell ref="V118:Y118"/>
    <mergeCell ref="Z118:AC118"/>
    <mergeCell ref="AD118:AG118"/>
    <mergeCell ref="AH118:AK118"/>
    <mergeCell ref="AL118:AO118"/>
    <mergeCell ref="AP118:AS118"/>
    <mergeCell ref="Z117:AC117"/>
    <mergeCell ref="AD117:AG117"/>
    <mergeCell ref="AH117:AK117"/>
    <mergeCell ref="AL117:AO117"/>
    <mergeCell ref="AP117:AS117"/>
    <mergeCell ref="V117:Y117"/>
    <mergeCell ref="B120:E120"/>
    <mergeCell ref="F120:I120"/>
    <mergeCell ref="J120:M120"/>
    <mergeCell ref="N120:Q120"/>
    <mergeCell ref="R120:U120"/>
    <mergeCell ref="B119:E119"/>
    <mergeCell ref="F119:I119"/>
    <mergeCell ref="J119:M119"/>
    <mergeCell ref="N119:Q119"/>
    <mergeCell ref="R119:U119"/>
    <mergeCell ref="V120:Y120"/>
    <mergeCell ref="Z120:AC120"/>
    <mergeCell ref="AD120:AG120"/>
    <mergeCell ref="AH120:AK120"/>
    <mergeCell ref="AL120:AO120"/>
    <mergeCell ref="AP120:AS120"/>
    <mergeCell ref="Z119:AC119"/>
    <mergeCell ref="AD119:AG119"/>
    <mergeCell ref="AH119:AK119"/>
    <mergeCell ref="AL119:AO119"/>
    <mergeCell ref="AP119:AS119"/>
    <mergeCell ref="V119:Y119"/>
    <mergeCell ref="Z121:AC121"/>
    <mergeCell ref="AD121:AG121"/>
    <mergeCell ref="AH121:AK121"/>
    <mergeCell ref="AL121:AO121"/>
    <mergeCell ref="AP121:AS121"/>
    <mergeCell ref="AH122:AK122"/>
    <mergeCell ref="AL122:AO122"/>
    <mergeCell ref="AP122:AS122"/>
    <mergeCell ref="B121:E121"/>
    <mergeCell ref="F121:I121"/>
    <mergeCell ref="J121:M121"/>
    <mergeCell ref="N121:Q121"/>
    <mergeCell ref="R121:U121"/>
    <mergeCell ref="V121:Y121"/>
    <mergeCell ref="B124:E124"/>
    <mergeCell ref="F124:I124"/>
    <mergeCell ref="J124:M124"/>
    <mergeCell ref="N124:Q124"/>
    <mergeCell ref="R124:U124"/>
    <mergeCell ref="B123:E123"/>
    <mergeCell ref="F123:I123"/>
    <mergeCell ref="J123:M123"/>
    <mergeCell ref="N123:Q123"/>
    <mergeCell ref="R123:U123"/>
    <mergeCell ref="V124:Y124"/>
    <mergeCell ref="Z124:AC124"/>
    <mergeCell ref="AD124:AG124"/>
    <mergeCell ref="AH124:AK124"/>
    <mergeCell ref="AL124:AO124"/>
    <mergeCell ref="AP124:AS124"/>
    <mergeCell ref="Z123:AC123"/>
    <mergeCell ref="AD123:AG123"/>
    <mergeCell ref="AH123:AK123"/>
    <mergeCell ref="AL123:AO123"/>
    <mergeCell ref="AP123:AS123"/>
    <mergeCell ref="V123:Y123"/>
    <mergeCell ref="B126:E126"/>
    <mergeCell ref="F126:I126"/>
    <mergeCell ref="J126:M126"/>
    <mergeCell ref="N126:Q126"/>
    <mergeCell ref="R126:U126"/>
    <mergeCell ref="B125:E125"/>
    <mergeCell ref="F125:I125"/>
    <mergeCell ref="J125:M125"/>
    <mergeCell ref="N125:Q125"/>
    <mergeCell ref="R125:U125"/>
    <mergeCell ref="V126:Y126"/>
    <mergeCell ref="Z126:AC126"/>
    <mergeCell ref="AD126:AG126"/>
    <mergeCell ref="AH126:AK126"/>
    <mergeCell ref="AL126:AO126"/>
    <mergeCell ref="AP126:AS126"/>
    <mergeCell ref="Z125:AC125"/>
    <mergeCell ref="AD125:AG125"/>
    <mergeCell ref="AH125:AK125"/>
    <mergeCell ref="AL125:AO125"/>
    <mergeCell ref="AP125:AS125"/>
    <mergeCell ref="V125:Y125"/>
    <mergeCell ref="AL128:AO128"/>
    <mergeCell ref="AP128:AS128"/>
    <mergeCell ref="Z127:AC127"/>
    <mergeCell ref="AD127:AG127"/>
    <mergeCell ref="AH127:AK127"/>
    <mergeCell ref="AL127:AO127"/>
    <mergeCell ref="AP127:AS127"/>
    <mergeCell ref="V127:Y127"/>
    <mergeCell ref="B128:E128"/>
    <mergeCell ref="F128:I128"/>
    <mergeCell ref="J128:M128"/>
    <mergeCell ref="N128:Q128"/>
    <mergeCell ref="R128:U128"/>
    <mergeCell ref="B127:E127"/>
    <mergeCell ref="F127:I127"/>
    <mergeCell ref="J127:M127"/>
    <mergeCell ref="N127:Q127"/>
    <mergeCell ref="R127:U127"/>
    <mergeCell ref="B129:E129"/>
    <mergeCell ref="F129:I129"/>
    <mergeCell ref="J129:M129"/>
    <mergeCell ref="N129:Q129"/>
    <mergeCell ref="R129:U129"/>
    <mergeCell ref="V128:Y128"/>
    <mergeCell ref="Z128:AC128"/>
    <mergeCell ref="AD128:AG128"/>
    <mergeCell ref="AH128:AK128"/>
    <mergeCell ref="AH130:AK130"/>
    <mergeCell ref="AL130:AO130"/>
    <mergeCell ref="AP130:AS130"/>
    <mergeCell ref="Z129:AC129"/>
    <mergeCell ref="AD129:AG129"/>
    <mergeCell ref="AH129:AK129"/>
    <mergeCell ref="AL129:AO129"/>
    <mergeCell ref="AP129:AS129"/>
    <mergeCell ref="V129:Y129"/>
    <mergeCell ref="B131:E131"/>
    <mergeCell ref="F131:I131"/>
    <mergeCell ref="J131:M131"/>
    <mergeCell ref="N131:Q131"/>
    <mergeCell ref="R131:U131"/>
    <mergeCell ref="V131:Y131"/>
    <mergeCell ref="V130:Y130"/>
    <mergeCell ref="Z130:AC130"/>
    <mergeCell ref="AD130:AG130"/>
    <mergeCell ref="B130:E130"/>
    <mergeCell ref="F130:I130"/>
    <mergeCell ref="J130:M130"/>
    <mergeCell ref="N130:Q130"/>
    <mergeCell ref="R130:U130"/>
    <mergeCell ref="Z131:AC131"/>
    <mergeCell ref="AD131:AG131"/>
    <mergeCell ref="AH131:AK131"/>
    <mergeCell ref="Z133:AC133"/>
    <mergeCell ref="AD133:AG133"/>
    <mergeCell ref="AH133:AK133"/>
    <mergeCell ref="AL131:AO131"/>
    <mergeCell ref="AP131:AS131"/>
    <mergeCell ref="AD132:AG132"/>
    <mergeCell ref="AH132:AK132"/>
    <mergeCell ref="AL132:AO132"/>
    <mergeCell ref="AP132:AS132"/>
    <mergeCell ref="B138:E138"/>
    <mergeCell ref="F138:I138"/>
    <mergeCell ref="J138:M138"/>
    <mergeCell ref="N138:Q138"/>
    <mergeCell ref="R138:U138"/>
    <mergeCell ref="V138:Y138"/>
    <mergeCell ref="Z138:AC138"/>
    <mergeCell ref="AL133:AO133"/>
    <mergeCell ref="AP133:AS133"/>
    <mergeCell ref="N134:Q134"/>
    <mergeCell ref="R134:U134"/>
    <mergeCell ref="V134:Y134"/>
    <mergeCell ref="Z134:AC134"/>
    <mergeCell ref="AD134:AG134"/>
    <mergeCell ref="AH134:AK134"/>
    <mergeCell ref="AL134:AO134"/>
    <mergeCell ref="AP134:AS134"/>
    <mergeCell ref="B133:E133"/>
    <mergeCell ref="F133:I133"/>
    <mergeCell ref="J133:M133"/>
    <mergeCell ref="N133:Q133"/>
    <mergeCell ref="R133:U133"/>
    <mergeCell ref="V133:Y133"/>
    <mergeCell ref="AD135:AG135"/>
    <mergeCell ref="AH135:AK135"/>
    <mergeCell ref="AL135:AO135"/>
    <mergeCell ref="AP135:AS135"/>
    <mergeCell ref="B136:E136"/>
    <mergeCell ref="F136:I136"/>
    <mergeCell ref="J136:M136"/>
    <mergeCell ref="N136:Q136"/>
    <mergeCell ref="R136:U136"/>
    <mergeCell ref="V136:Y136"/>
    <mergeCell ref="B135:E135"/>
    <mergeCell ref="F135:I135"/>
    <mergeCell ref="J135:M135"/>
    <mergeCell ref="N135:Q135"/>
    <mergeCell ref="R135:U135"/>
    <mergeCell ref="V135:Y135"/>
    <mergeCell ref="Z135:AC135"/>
    <mergeCell ref="AD138:AG138"/>
    <mergeCell ref="AH138:AK138"/>
    <mergeCell ref="AL138:AO138"/>
    <mergeCell ref="AP138:AS138"/>
    <mergeCell ref="Z136:AC136"/>
    <mergeCell ref="AD136:AG136"/>
    <mergeCell ref="AH136:AK136"/>
    <mergeCell ref="AL136:AO136"/>
    <mergeCell ref="AP136:AS136"/>
    <mergeCell ref="AL137:AO137"/>
    <mergeCell ref="AP137:AS137"/>
    <mergeCell ref="B140:E140"/>
    <mergeCell ref="F140:I140"/>
    <mergeCell ref="J140:M140"/>
    <mergeCell ref="N140:Q140"/>
    <mergeCell ref="R140:U140"/>
    <mergeCell ref="B139:E139"/>
    <mergeCell ref="F139:I139"/>
    <mergeCell ref="J139:M139"/>
    <mergeCell ref="N139:Q139"/>
    <mergeCell ref="R139:U139"/>
    <mergeCell ref="V140:Y140"/>
    <mergeCell ref="Z140:AC140"/>
    <mergeCell ref="AD140:AG140"/>
    <mergeCell ref="AH140:AK140"/>
    <mergeCell ref="AL140:AO140"/>
    <mergeCell ref="AP140:AS140"/>
    <mergeCell ref="Z139:AC139"/>
    <mergeCell ref="AD139:AG139"/>
    <mergeCell ref="AH139:AK139"/>
    <mergeCell ref="AL139:AO139"/>
    <mergeCell ref="AP139:AS139"/>
    <mergeCell ref="V139:Y139"/>
    <mergeCell ref="Z141:AC141"/>
    <mergeCell ref="AD141:AG141"/>
    <mergeCell ref="AH141:AK141"/>
    <mergeCell ref="AL141:AO141"/>
    <mergeCell ref="AP141:AS141"/>
    <mergeCell ref="AH142:AK142"/>
    <mergeCell ref="AL142:AO142"/>
    <mergeCell ref="AP142:AS142"/>
    <mergeCell ref="B141:E141"/>
    <mergeCell ref="F141:I141"/>
    <mergeCell ref="J141:M141"/>
    <mergeCell ref="N141:Q141"/>
    <mergeCell ref="R141:U141"/>
    <mergeCell ref="V141:Y141"/>
    <mergeCell ref="V144:Y144"/>
    <mergeCell ref="Z144:AC144"/>
    <mergeCell ref="AD144:AG144"/>
    <mergeCell ref="AH144:AK144"/>
    <mergeCell ref="AL144:AO144"/>
    <mergeCell ref="AP144:AS144"/>
    <mergeCell ref="V143:Y143"/>
    <mergeCell ref="Z143:AC143"/>
    <mergeCell ref="AD143:AG143"/>
    <mergeCell ref="AH143:AK143"/>
    <mergeCell ref="AL143:AO143"/>
    <mergeCell ref="AP143:AS143"/>
    <mergeCell ref="B146:E146"/>
    <mergeCell ref="F146:I146"/>
    <mergeCell ref="J146:M146"/>
    <mergeCell ref="N146:Q146"/>
    <mergeCell ref="R146:U146"/>
    <mergeCell ref="B145:E145"/>
    <mergeCell ref="F145:I145"/>
    <mergeCell ref="J145:M145"/>
    <mergeCell ref="N145:Q145"/>
    <mergeCell ref="R145:U145"/>
    <mergeCell ref="V146:Y146"/>
    <mergeCell ref="Z146:AC146"/>
    <mergeCell ref="AD146:AG146"/>
    <mergeCell ref="AH146:AK146"/>
    <mergeCell ref="AL146:AO146"/>
    <mergeCell ref="AP146:AS146"/>
    <mergeCell ref="Z145:AC145"/>
    <mergeCell ref="AD145:AG145"/>
    <mergeCell ref="AH145:AK145"/>
    <mergeCell ref="AL145:AO145"/>
    <mergeCell ref="AP145:AS145"/>
    <mergeCell ref="V145:Y145"/>
    <mergeCell ref="A1:AW2"/>
    <mergeCell ref="AT3:AW3"/>
    <mergeCell ref="AT4:AW4"/>
    <mergeCell ref="AT5:AW5"/>
    <mergeCell ref="AT6:AW6"/>
    <mergeCell ref="AT7:AW7"/>
    <mergeCell ref="AT8:AW8"/>
    <mergeCell ref="Z15:AC15"/>
    <mergeCell ref="AD15:AG15"/>
    <mergeCell ref="AH15:AK15"/>
    <mergeCell ref="AL15:AO15"/>
    <mergeCell ref="AP15:AS15"/>
    <mergeCell ref="AH12:AK12"/>
    <mergeCell ref="AL12:AO12"/>
    <mergeCell ref="AP12:AS12"/>
    <mergeCell ref="AL11:AO11"/>
    <mergeCell ref="AP11:AS11"/>
    <mergeCell ref="B12:E12"/>
    <mergeCell ref="F12:I12"/>
    <mergeCell ref="AD14:AG14"/>
    <mergeCell ref="AH14:AK14"/>
    <mergeCell ref="AL14:AO14"/>
    <mergeCell ref="AP14:AS14"/>
    <mergeCell ref="B15:E15"/>
    <mergeCell ref="AT17:AW17"/>
    <mergeCell ref="AV41:AV42"/>
    <mergeCell ref="AW41:AW42"/>
    <mergeCell ref="AT44:AW44"/>
    <mergeCell ref="AV61:AV62"/>
    <mergeCell ref="AW61:AW62"/>
    <mergeCell ref="AT9:AW10"/>
    <mergeCell ref="AT11:AW11"/>
    <mergeCell ref="AT12:AW12"/>
    <mergeCell ref="AT14:AW14"/>
    <mergeCell ref="AT15:AW15"/>
    <mergeCell ref="AT93:AU93"/>
    <mergeCell ref="AT94:AU94"/>
    <mergeCell ref="AT95:AU95"/>
    <mergeCell ref="AT96:AU96"/>
    <mergeCell ref="AT97:AU97"/>
    <mergeCell ref="AV97:AV98"/>
    <mergeCell ref="AT64:AW64"/>
    <mergeCell ref="AV87:AV88"/>
    <mergeCell ref="AW87:AW88"/>
    <mergeCell ref="AT90:AW90"/>
    <mergeCell ref="AT91:AW91"/>
    <mergeCell ref="AT92:AU92"/>
    <mergeCell ref="AT104:AW104"/>
    <mergeCell ref="AT105:AW105"/>
    <mergeCell ref="AT106:AW106"/>
    <mergeCell ref="AT107:AW107"/>
    <mergeCell ref="AT108:AW108"/>
    <mergeCell ref="AT109:AW109"/>
    <mergeCell ref="AW97:AW98"/>
    <mergeCell ref="AT98:AU98"/>
    <mergeCell ref="AT100:AW100"/>
    <mergeCell ref="AT101:AW101"/>
    <mergeCell ref="AT102:AW102"/>
    <mergeCell ref="AT103:AW103"/>
    <mergeCell ref="AT116:AW116"/>
    <mergeCell ref="AT117:AW117"/>
    <mergeCell ref="AT118:AW118"/>
    <mergeCell ref="AT119:AW119"/>
    <mergeCell ref="AT120:AW120"/>
    <mergeCell ref="AT121:AW121"/>
    <mergeCell ref="AT110:AW110"/>
    <mergeCell ref="AT111:AW111"/>
    <mergeCell ref="AT112:AW112"/>
    <mergeCell ref="AT113:AW113"/>
    <mergeCell ref="AT114:AW114"/>
    <mergeCell ref="AT115:AW115"/>
    <mergeCell ref="AT128:AW128"/>
    <mergeCell ref="AT129:AW129"/>
    <mergeCell ref="AT130:AW130"/>
    <mergeCell ref="AT131:AW131"/>
    <mergeCell ref="AT132:AW132"/>
    <mergeCell ref="AT133:AW133"/>
    <mergeCell ref="AT137:AW137"/>
    <mergeCell ref="AT122:AW122"/>
    <mergeCell ref="AT123:AW123"/>
    <mergeCell ref="AT124:AW124"/>
    <mergeCell ref="AT125:AW125"/>
    <mergeCell ref="AT126:AW126"/>
    <mergeCell ref="AT127:AW127"/>
    <mergeCell ref="AT141:AW141"/>
    <mergeCell ref="AT142:AW142"/>
    <mergeCell ref="AT143:AW143"/>
    <mergeCell ref="AT144:AW144"/>
    <mergeCell ref="AT145:AW145"/>
    <mergeCell ref="AT146:AW146"/>
    <mergeCell ref="AT134:AW134"/>
    <mergeCell ref="AT135:AW135"/>
    <mergeCell ref="AT136:AW136"/>
    <mergeCell ref="AT138:AW138"/>
    <mergeCell ref="AT139:AW139"/>
    <mergeCell ref="AT140:AW140"/>
  </mergeCells>
  <conditionalFormatting sqref="B4:B9 B11">
    <cfRule type="cellIs" dxfId="601" priority="489" operator="lessThan">
      <formula>0</formula>
    </cfRule>
  </conditionalFormatting>
  <conditionalFormatting sqref="B12">
    <cfRule type="cellIs" dxfId="600" priority="488" operator="lessThan">
      <formula>0.01</formula>
    </cfRule>
  </conditionalFormatting>
  <conditionalFormatting sqref="C19:C40">
    <cfRule type="cellIs" dxfId="599" priority="487" operator="lessThan">
      <formula>0</formula>
    </cfRule>
  </conditionalFormatting>
  <conditionalFormatting sqref="D19:D40">
    <cfRule type="cellIs" dxfId="598" priority="486" operator="lessThan">
      <formula>0</formula>
    </cfRule>
  </conditionalFormatting>
  <conditionalFormatting sqref="C42">
    <cfRule type="cellIs" dxfId="597" priority="482" operator="lessThan">
      <formula>0</formula>
    </cfRule>
  </conditionalFormatting>
  <conditionalFormatting sqref="C41">
    <cfRule type="cellIs" dxfId="596" priority="485" operator="lessThan">
      <formula>0</formula>
    </cfRule>
  </conditionalFormatting>
  <conditionalFormatting sqref="D61">
    <cfRule type="cellIs" dxfId="595" priority="478" operator="lessThan">
      <formula>0</formula>
    </cfRule>
  </conditionalFormatting>
  <conditionalFormatting sqref="D41">
    <cfRule type="cellIs" dxfId="594" priority="483" operator="lessThan">
      <formula>0</formula>
    </cfRule>
  </conditionalFormatting>
  <conditionalFormatting sqref="C46:C60">
    <cfRule type="cellIs" dxfId="593" priority="481" operator="lessThan">
      <formula>0</formula>
    </cfRule>
  </conditionalFormatting>
  <conditionalFormatting sqref="D46:D60">
    <cfRule type="cellIs" dxfId="592" priority="480" operator="lessThan">
      <formula>0</formula>
    </cfRule>
  </conditionalFormatting>
  <conditionalFormatting sqref="C61">
    <cfRule type="cellIs" dxfId="591" priority="479" operator="lessThan">
      <formula>0</formula>
    </cfRule>
  </conditionalFormatting>
  <conditionalFormatting sqref="E61">
    <cfRule type="cellIs" dxfId="590" priority="477" operator="lessThan">
      <formula>1</formula>
    </cfRule>
  </conditionalFormatting>
  <conditionalFormatting sqref="C62">
    <cfRule type="cellIs" dxfId="589" priority="476" operator="lessThan">
      <formula>0</formula>
    </cfRule>
  </conditionalFormatting>
  <conditionalFormatting sqref="C66:C86">
    <cfRule type="cellIs" dxfId="588" priority="475" operator="lessThan">
      <formula>0</formula>
    </cfRule>
  </conditionalFormatting>
  <conditionalFormatting sqref="D66:D86">
    <cfRule type="cellIs" dxfId="587" priority="474" operator="lessThan">
      <formula>0</formula>
    </cfRule>
  </conditionalFormatting>
  <conditionalFormatting sqref="C87">
    <cfRule type="cellIs" dxfId="586" priority="473" operator="lessThan">
      <formula>0</formula>
    </cfRule>
  </conditionalFormatting>
  <conditionalFormatting sqref="C88">
    <cfRule type="cellIs" dxfId="585" priority="470" operator="lessThan">
      <formula>0</formula>
    </cfRule>
  </conditionalFormatting>
  <conditionalFormatting sqref="B92:B96">
    <cfRule type="cellIs" dxfId="584" priority="469" operator="lessThan">
      <formula>0</formula>
    </cfRule>
  </conditionalFormatting>
  <conditionalFormatting sqref="D92:D96">
    <cfRule type="cellIs" dxfId="583" priority="468" operator="lessThan">
      <formula>0</formula>
    </cfRule>
  </conditionalFormatting>
  <conditionalFormatting sqref="B97">
    <cfRule type="cellIs" dxfId="582" priority="467" operator="lessThan">
      <formula>0</formula>
    </cfRule>
  </conditionalFormatting>
  <conditionalFormatting sqref="D97">
    <cfRule type="cellIs" dxfId="581" priority="465" operator="lessThan">
      <formula>0</formula>
    </cfRule>
  </conditionalFormatting>
  <conditionalFormatting sqref="B102:B128 B130:B144">
    <cfRule type="cellIs" dxfId="580" priority="464" operator="lessThan">
      <formula>0</formula>
    </cfRule>
  </conditionalFormatting>
  <conditionalFormatting sqref="B145">
    <cfRule type="cellIs" dxfId="579" priority="463" operator="lessThan">
      <formula>0</formula>
    </cfRule>
  </conditionalFormatting>
  <conditionalFormatting sqref="B146">
    <cfRule type="cellIs" dxfId="578" priority="462" operator="lessThan">
      <formula>0</formula>
    </cfRule>
  </conditionalFormatting>
  <conditionalFormatting sqref="F4:F9 F11">
    <cfRule type="cellIs" dxfId="577" priority="454" operator="lessThan">
      <formula>0</formula>
    </cfRule>
  </conditionalFormatting>
  <conditionalFormatting sqref="G19:G40">
    <cfRule type="cellIs" dxfId="576" priority="452" operator="lessThan">
      <formula>0</formula>
    </cfRule>
  </conditionalFormatting>
  <conditionalFormatting sqref="H19:H40">
    <cfRule type="cellIs" dxfId="575" priority="451" operator="lessThan">
      <formula>0</formula>
    </cfRule>
  </conditionalFormatting>
  <conditionalFormatting sqref="G41">
    <cfRule type="cellIs" dxfId="574" priority="449" operator="lessThan">
      <formula>0</formula>
    </cfRule>
  </conditionalFormatting>
  <conditionalFormatting sqref="I41">
    <cfRule type="cellIs" dxfId="573" priority="448" operator="lessThan">
      <formula>1</formula>
    </cfRule>
  </conditionalFormatting>
  <conditionalFormatting sqref="I19:I25">
    <cfRule type="cellIs" dxfId="572" priority="445" operator="lessThan">
      <formula>1</formula>
    </cfRule>
  </conditionalFormatting>
  <conditionalFormatting sqref="I26">
    <cfRule type="cellIs" dxfId="571" priority="450" operator="lessThan">
      <formula>1</formula>
    </cfRule>
  </conditionalFormatting>
  <conditionalFormatting sqref="E41">
    <cfRule type="cellIs" dxfId="570" priority="484" operator="lessThan">
      <formula>1</formula>
    </cfRule>
  </conditionalFormatting>
  <conditionalFormatting sqref="E87">
    <cfRule type="cellIs" dxfId="569" priority="472" operator="lessThan">
      <formula>1</formula>
    </cfRule>
  </conditionalFormatting>
  <conditionalFormatting sqref="D87">
    <cfRule type="cellIs" dxfId="568" priority="471" operator="lessThan">
      <formula>0</formula>
    </cfRule>
  </conditionalFormatting>
  <conditionalFormatting sqref="E97">
    <cfRule type="cellIs" dxfId="567" priority="466" operator="lessThan">
      <formula>1</formula>
    </cfRule>
  </conditionalFormatting>
  <conditionalFormatting sqref="E19:E26">
    <cfRule type="cellIs" dxfId="566" priority="461" operator="lessThan">
      <formula>1</formula>
    </cfRule>
  </conditionalFormatting>
  <conditionalFormatting sqref="E27:E32 E34:E40">
    <cfRule type="cellIs" dxfId="565" priority="460" operator="lessThan">
      <formula>1</formula>
    </cfRule>
  </conditionalFormatting>
  <conditionalFormatting sqref="E46:E49 E59:E60 E56:E57 E51:E54">
    <cfRule type="cellIs" dxfId="564" priority="459" operator="lessThan">
      <formula>1</formula>
    </cfRule>
  </conditionalFormatting>
  <conditionalFormatting sqref="E66:E68 E70:E72">
    <cfRule type="cellIs" dxfId="563" priority="458" operator="lessThan">
      <formula>1</formula>
    </cfRule>
  </conditionalFormatting>
  <conditionalFormatting sqref="E75:E78">
    <cfRule type="cellIs" dxfId="562" priority="457" operator="lessThan">
      <formula>1</formula>
    </cfRule>
  </conditionalFormatting>
  <conditionalFormatting sqref="E82:E86">
    <cfRule type="cellIs" dxfId="561" priority="456" operator="lessThan">
      <formula>1</formula>
    </cfRule>
  </conditionalFormatting>
  <conditionalFormatting sqref="E92:E96">
    <cfRule type="cellIs" dxfId="560" priority="455" operator="lessThan">
      <formula>1</formula>
    </cfRule>
  </conditionalFormatting>
  <conditionalFormatting sqref="F12">
    <cfRule type="cellIs" dxfId="559" priority="453" operator="lessThan">
      <formula>0.01</formula>
    </cfRule>
  </conditionalFormatting>
  <conditionalFormatting sqref="I27:I40">
    <cfRule type="cellIs" dxfId="558" priority="444" operator="lessThan">
      <formula>1</formula>
    </cfRule>
  </conditionalFormatting>
  <conditionalFormatting sqref="H41">
    <cfRule type="cellIs" dxfId="557" priority="447" operator="lessThan">
      <formula>0</formula>
    </cfRule>
  </conditionalFormatting>
  <conditionalFormatting sqref="G42">
    <cfRule type="cellIs" dxfId="556" priority="446" operator="lessThan">
      <formula>0</formula>
    </cfRule>
  </conditionalFormatting>
  <conditionalFormatting sqref="G46:G60">
    <cfRule type="cellIs" dxfId="555" priority="443" operator="lessThan">
      <formula>0</formula>
    </cfRule>
  </conditionalFormatting>
  <conditionalFormatting sqref="H46:H60">
    <cfRule type="cellIs" dxfId="554" priority="442" operator="lessThan">
      <formula>0</formula>
    </cfRule>
  </conditionalFormatting>
  <conditionalFormatting sqref="G61">
    <cfRule type="cellIs" dxfId="553" priority="441" operator="lessThan">
      <formula>0</formula>
    </cfRule>
  </conditionalFormatting>
  <conditionalFormatting sqref="H61">
    <cfRule type="cellIs" dxfId="552" priority="440" operator="lessThan">
      <formula>0</formula>
    </cfRule>
  </conditionalFormatting>
  <conditionalFormatting sqref="I61">
    <cfRule type="cellIs" dxfId="551" priority="439" operator="lessThan">
      <formula>1</formula>
    </cfRule>
  </conditionalFormatting>
  <conditionalFormatting sqref="G62">
    <cfRule type="cellIs" dxfId="550" priority="438" operator="lessThan">
      <formula>0</formula>
    </cfRule>
  </conditionalFormatting>
  <conditionalFormatting sqref="I46:I49">
    <cfRule type="cellIs" dxfId="549" priority="437" operator="lessThan">
      <formula>1</formula>
    </cfRule>
  </conditionalFormatting>
  <conditionalFormatting sqref="I51:I54">
    <cfRule type="cellIs" dxfId="548" priority="436" operator="lessThan">
      <formula>1</formula>
    </cfRule>
  </conditionalFormatting>
  <conditionalFormatting sqref="I56:I57">
    <cfRule type="cellIs" dxfId="547" priority="435" operator="lessThan">
      <formula>1</formula>
    </cfRule>
  </conditionalFormatting>
  <conditionalFormatting sqref="I59:I60">
    <cfRule type="cellIs" dxfId="546" priority="434" operator="lessThan">
      <formula>1</formula>
    </cfRule>
  </conditionalFormatting>
  <conditionalFormatting sqref="G66:G86">
    <cfRule type="cellIs" dxfId="545" priority="433" operator="lessThan">
      <formula>0</formula>
    </cfRule>
  </conditionalFormatting>
  <conditionalFormatting sqref="H66:H86">
    <cfRule type="cellIs" dxfId="544" priority="432" operator="lessThan">
      <formula>0</formula>
    </cfRule>
  </conditionalFormatting>
  <conditionalFormatting sqref="I87">
    <cfRule type="cellIs" dxfId="543" priority="430" operator="lessThan">
      <formula>1</formula>
    </cfRule>
  </conditionalFormatting>
  <conditionalFormatting sqref="G87">
    <cfRule type="cellIs" dxfId="542" priority="431" operator="lessThan">
      <formula>0</formula>
    </cfRule>
  </conditionalFormatting>
  <conditionalFormatting sqref="H87">
    <cfRule type="cellIs" dxfId="541" priority="429" operator="lessThan">
      <formula>0</formula>
    </cfRule>
  </conditionalFormatting>
  <conditionalFormatting sqref="G88">
    <cfRule type="cellIs" dxfId="540" priority="428" operator="lessThan">
      <formula>0</formula>
    </cfRule>
  </conditionalFormatting>
  <conditionalFormatting sqref="I66:I72 I83:I86 I77:I78 I75">
    <cfRule type="cellIs" dxfId="539" priority="427" operator="lessThan">
      <formula>1</formula>
    </cfRule>
  </conditionalFormatting>
  <conditionalFormatting sqref="F97">
    <cfRule type="cellIs" dxfId="538" priority="426" operator="lessThan">
      <formula>0</formula>
    </cfRule>
  </conditionalFormatting>
  <conditionalFormatting sqref="H97">
    <cfRule type="cellIs" dxfId="537" priority="424" operator="lessThan">
      <formula>0</formula>
    </cfRule>
  </conditionalFormatting>
  <conditionalFormatting sqref="I97">
    <cfRule type="cellIs" dxfId="536" priority="425" operator="lessThan">
      <formula>1</formula>
    </cfRule>
  </conditionalFormatting>
  <conditionalFormatting sqref="F92:F96">
    <cfRule type="cellIs" dxfId="535" priority="423" operator="lessThan">
      <formula>0</formula>
    </cfRule>
  </conditionalFormatting>
  <conditionalFormatting sqref="H92:H96">
    <cfRule type="cellIs" dxfId="534" priority="422" operator="lessThan">
      <formula>0</formula>
    </cfRule>
  </conditionalFormatting>
  <conditionalFormatting sqref="F98">
    <cfRule type="cellIs" dxfId="533" priority="421" operator="lessThan">
      <formula>0</formula>
    </cfRule>
  </conditionalFormatting>
  <conditionalFormatting sqref="B98">
    <cfRule type="cellIs" dxfId="532" priority="420" operator="lessThan">
      <formula>0</formula>
    </cfRule>
  </conditionalFormatting>
  <conditionalFormatting sqref="F102:F128 F130:F144">
    <cfRule type="cellIs" dxfId="531" priority="419" operator="lessThan">
      <formula>0</formula>
    </cfRule>
  </conditionalFormatting>
  <conditionalFormatting sqref="F145">
    <cfRule type="cellIs" dxfId="530" priority="418" operator="lessThan">
      <formula>0</formula>
    </cfRule>
  </conditionalFormatting>
  <conditionalFormatting sqref="F146">
    <cfRule type="cellIs" dxfId="529" priority="417" operator="lessThan">
      <formula>0</formula>
    </cfRule>
  </conditionalFormatting>
  <conditionalFormatting sqref="I92:I96">
    <cfRule type="cellIs" dxfId="528" priority="416" operator="lessThan">
      <formula>1</formula>
    </cfRule>
  </conditionalFormatting>
  <conditionalFormatting sqref="J4:J9 J11">
    <cfRule type="cellIs" dxfId="527" priority="415" operator="lessThan">
      <formula>0</formula>
    </cfRule>
  </conditionalFormatting>
  <conditionalFormatting sqref="J12">
    <cfRule type="cellIs" dxfId="526" priority="414" operator="lessThan">
      <formula>0.01</formula>
    </cfRule>
  </conditionalFormatting>
  <conditionalFormatting sqref="M87">
    <cfRule type="cellIs" dxfId="525" priority="412" operator="lessThan">
      <formula>1</formula>
    </cfRule>
  </conditionalFormatting>
  <conditionalFormatting sqref="K87">
    <cfRule type="cellIs" dxfId="524" priority="413" operator="lessThan">
      <formula>0</formula>
    </cfRule>
  </conditionalFormatting>
  <conditionalFormatting sqref="L87">
    <cfRule type="cellIs" dxfId="523" priority="411" operator="lessThan">
      <formula>0</formula>
    </cfRule>
  </conditionalFormatting>
  <conditionalFormatting sqref="K88">
    <cfRule type="cellIs" dxfId="522" priority="410" operator="lessThan">
      <formula>0</formula>
    </cfRule>
  </conditionalFormatting>
  <conditionalFormatting sqref="K61">
    <cfRule type="cellIs" dxfId="521" priority="409" operator="lessThan">
      <formula>0</formula>
    </cfRule>
  </conditionalFormatting>
  <conditionalFormatting sqref="L61">
    <cfRule type="cellIs" dxfId="520" priority="408" operator="lessThan">
      <formula>0</formula>
    </cfRule>
  </conditionalFormatting>
  <conditionalFormatting sqref="M61">
    <cfRule type="cellIs" dxfId="519" priority="407" operator="lessThan">
      <formula>1</formula>
    </cfRule>
  </conditionalFormatting>
  <conditionalFormatting sqref="K62">
    <cfRule type="cellIs" dxfId="518" priority="406" operator="lessThan">
      <formula>0</formula>
    </cfRule>
  </conditionalFormatting>
  <conditionalFormatting sqref="M41">
    <cfRule type="cellIs" dxfId="517" priority="404" operator="lessThan">
      <formula>1</formula>
    </cfRule>
  </conditionalFormatting>
  <conditionalFormatting sqref="K41">
    <cfRule type="cellIs" dxfId="516" priority="405" operator="lessThan">
      <formula>0</formula>
    </cfRule>
  </conditionalFormatting>
  <conditionalFormatting sqref="L41">
    <cfRule type="cellIs" dxfId="515" priority="403" operator="lessThan">
      <formula>0</formula>
    </cfRule>
  </conditionalFormatting>
  <conditionalFormatting sqref="K42">
    <cfRule type="cellIs" dxfId="514" priority="402" operator="lessThan">
      <formula>0</formula>
    </cfRule>
  </conditionalFormatting>
  <conditionalFormatting sqref="K19:K40">
    <cfRule type="cellIs" dxfId="513" priority="401" operator="lessThan">
      <formula>0</formula>
    </cfRule>
  </conditionalFormatting>
  <conditionalFormatting sqref="L19:L40">
    <cfRule type="cellIs" dxfId="512" priority="400" operator="lessThan">
      <formula>0</formula>
    </cfRule>
  </conditionalFormatting>
  <conditionalFormatting sqref="K46:K60">
    <cfRule type="cellIs" dxfId="511" priority="399" operator="lessThan">
      <formula>0</formula>
    </cfRule>
  </conditionalFormatting>
  <conditionalFormatting sqref="L46:L60">
    <cfRule type="cellIs" dxfId="510" priority="398" operator="lessThan">
      <formula>0</formula>
    </cfRule>
  </conditionalFormatting>
  <conditionalFormatting sqref="K66:K86">
    <cfRule type="cellIs" dxfId="509" priority="397" operator="lessThan">
      <formula>0</formula>
    </cfRule>
  </conditionalFormatting>
  <conditionalFormatting sqref="L66:L86">
    <cfRule type="cellIs" dxfId="508" priority="396" operator="lessThan">
      <formula>0</formula>
    </cfRule>
  </conditionalFormatting>
  <conditionalFormatting sqref="J97">
    <cfRule type="cellIs" dxfId="507" priority="395" operator="lessThan">
      <formula>0</formula>
    </cfRule>
  </conditionalFormatting>
  <conditionalFormatting sqref="L97">
    <cfRule type="cellIs" dxfId="506" priority="393" operator="lessThan">
      <formula>0</formula>
    </cfRule>
  </conditionalFormatting>
  <conditionalFormatting sqref="M97">
    <cfRule type="cellIs" dxfId="505" priority="394" operator="lessThan">
      <formula>1</formula>
    </cfRule>
  </conditionalFormatting>
  <conditionalFormatting sqref="J98">
    <cfRule type="cellIs" dxfId="504" priority="392" operator="lessThan">
      <formula>0</formula>
    </cfRule>
  </conditionalFormatting>
  <conditionalFormatting sqref="J92:J96">
    <cfRule type="cellIs" dxfId="503" priority="391" operator="lessThan">
      <formula>0</formula>
    </cfRule>
  </conditionalFormatting>
  <conditionalFormatting sqref="L92:L96">
    <cfRule type="cellIs" dxfId="502" priority="390" operator="lessThan">
      <formula>0</formula>
    </cfRule>
  </conditionalFormatting>
  <conditionalFormatting sqref="J102:J128 J130:J144">
    <cfRule type="cellIs" dxfId="501" priority="389" operator="lessThan">
      <formula>0</formula>
    </cfRule>
  </conditionalFormatting>
  <conditionalFormatting sqref="J145">
    <cfRule type="cellIs" dxfId="500" priority="388" operator="lessThan">
      <formula>0</formula>
    </cfRule>
  </conditionalFormatting>
  <conditionalFormatting sqref="J146">
    <cfRule type="cellIs" dxfId="499" priority="387" operator="lessThan">
      <formula>0</formula>
    </cfRule>
  </conditionalFormatting>
  <conditionalFormatting sqref="M19:M25">
    <cfRule type="cellIs" dxfId="498" priority="386" operator="lessThan">
      <formula>1</formula>
    </cfRule>
  </conditionalFormatting>
  <conditionalFormatting sqref="M27:M34">
    <cfRule type="cellIs" dxfId="497" priority="385" operator="lessThan">
      <formula>1</formula>
    </cfRule>
  </conditionalFormatting>
  <conditionalFormatting sqref="M35:M40">
    <cfRule type="cellIs" dxfId="496" priority="384" operator="lessThan">
      <formula>1</formula>
    </cfRule>
  </conditionalFormatting>
  <conditionalFormatting sqref="M46:M49">
    <cfRule type="cellIs" dxfId="495" priority="383" operator="lessThan">
      <formula>1</formula>
    </cfRule>
  </conditionalFormatting>
  <conditionalFormatting sqref="M51:M54">
    <cfRule type="cellIs" dxfId="494" priority="382" operator="lessThan">
      <formula>1</formula>
    </cfRule>
  </conditionalFormatting>
  <conditionalFormatting sqref="M56:M57">
    <cfRule type="cellIs" dxfId="493" priority="381" operator="lessThan">
      <formula>1</formula>
    </cfRule>
  </conditionalFormatting>
  <conditionalFormatting sqref="M59:M60">
    <cfRule type="cellIs" dxfId="492" priority="380" operator="lessThan">
      <formula>1</formula>
    </cfRule>
  </conditionalFormatting>
  <conditionalFormatting sqref="M66:M72">
    <cfRule type="cellIs" dxfId="491" priority="379" operator="lessThan">
      <formula>1</formula>
    </cfRule>
  </conditionalFormatting>
  <conditionalFormatting sqref="M75">
    <cfRule type="cellIs" dxfId="490" priority="378" operator="lessThan">
      <formula>1</formula>
    </cfRule>
  </conditionalFormatting>
  <conditionalFormatting sqref="M77:M78">
    <cfRule type="cellIs" dxfId="489" priority="377" operator="lessThan">
      <formula>1</formula>
    </cfRule>
  </conditionalFormatting>
  <conditionalFormatting sqref="M80:M81">
    <cfRule type="cellIs" dxfId="488" priority="376" operator="lessThan">
      <formula>1</formula>
    </cfRule>
  </conditionalFormatting>
  <conditionalFormatting sqref="M83:M86">
    <cfRule type="cellIs" dxfId="487" priority="375" operator="lessThan">
      <formula>1</formula>
    </cfRule>
  </conditionalFormatting>
  <conditionalFormatting sqref="M92:M96">
    <cfRule type="cellIs" dxfId="486" priority="374" operator="lessThan">
      <formula>1</formula>
    </cfRule>
  </conditionalFormatting>
  <conditionalFormatting sqref="B129">
    <cfRule type="cellIs" dxfId="485" priority="373" operator="lessThan">
      <formula>0</formula>
    </cfRule>
  </conditionalFormatting>
  <conditionalFormatting sqref="F129">
    <cfRule type="cellIs" dxfId="484" priority="372" operator="lessThan">
      <formula>0</formula>
    </cfRule>
  </conditionalFormatting>
  <conditionalFormatting sqref="J129">
    <cfRule type="cellIs" dxfId="483" priority="371" operator="lessThan">
      <formula>0</formula>
    </cfRule>
  </conditionalFormatting>
  <conditionalFormatting sqref="N4:N9 N11">
    <cfRule type="cellIs" dxfId="482" priority="370" operator="lessThan">
      <formula>0</formula>
    </cfRule>
  </conditionalFormatting>
  <conditionalFormatting sqref="N12">
    <cfRule type="cellIs" dxfId="481" priority="369" operator="lessThan">
      <formula>0.01</formula>
    </cfRule>
  </conditionalFormatting>
  <conditionalFormatting sqref="O19:O40">
    <cfRule type="cellIs" dxfId="480" priority="368" operator="lessThan">
      <formula>0</formula>
    </cfRule>
  </conditionalFormatting>
  <conditionalFormatting sqref="P19:P40">
    <cfRule type="cellIs" dxfId="479" priority="367" operator="lessThan">
      <formula>0</formula>
    </cfRule>
  </conditionalFormatting>
  <conditionalFormatting sqref="Q41">
    <cfRule type="cellIs" dxfId="478" priority="365" operator="lessThan">
      <formula>1</formula>
    </cfRule>
  </conditionalFormatting>
  <conditionalFormatting sqref="O41">
    <cfRule type="cellIs" dxfId="477" priority="366" operator="lessThan">
      <formula>0</formula>
    </cfRule>
  </conditionalFormatting>
  <conditionalFormatting sqref="P41">
    <cfRule type="cellIs" dxfId="476" priority="364" operator="lessThan">
      <formula>0</formula>
    </cfRule>
  </conditionalFormatting>
  <conditionalFormatting sqref="O42">
    <cfRule type="cellIs" dxfId="475" priority="363" operator="lessThan">
      <formula>0</formula>
    </cfRule>
  </conditionalFormatting>
  <conditionalFormatting sqref="Q19:Q25">
    <cfRule type="cellIs" dxfId="474" priority="362" operator="lessThan">
      <formula>1</formula>
    </cfRule>
  </conditionalFormatting>
  <conditionalFormatting sqref="Q27:Q34">
    <cfRule type="cellIs" dxfId="473" priority="361" operator="lessThan">
      <formula>1</formula>
    </cfRule>
  </conditionalFormatting>
  <conditionalFormatting sqref="Q35:Q40">
    <cfRule type="cellIs" dxfId="472" priority="360" operator="lessThan">
      <formula>1</formula>
    </cfRule>
  </conditionalFormatting>
  <conditionalFormatting sqref="O46:O60">
    <cfRule type="cellIs" dxfId="471" priority="359" operator="lessThan">
      <formula>0</formula>
    </cfRule>
  </conditionalFormatting>
  <conditionalFormatting sqref="P46:P60">
    <cfRule type="cellIs" dxfId="470" priority="358" operator="lessThan">
      <formula>0</formula>
    </cfRule>
  </conditionalFormatting>
  <conditionalFormatting sqref="O61">
    <cfRule type="cellIs" dxfId="469" priority="357" operator="lessThan">
      <formula>0</formula>
    </cfRule>
  </conditionalFormatting>
  <conditionalFormatting sqref="P61">
    <cfRule type="cellIs" dxfId="468" priority="356" operator="lessThan">
      <formula>0</formula>
    </cfRule>
  </conditionalFormatting>
  <conditionalFormatting sqref="Q61">
    <cfRule type="cellIs" dxfId="467" priority="355" operator="lessThan">
      <formula>1</formula>
    </cfRule>
  </conditionalFormatting>
  <conditionalFormatting sqref="O62">
    <cfRule type="cellIs" dxfId="466" priority="354" operator="lessThan">
      <formula>0</formula>
    </cfRule>
  </conditionalFormatting>
  <conditionalFormatting sqref="Q46:Q49">
    <cfRule type="cellIs" dxfId="465" priority="353" operator="lessThan">
      <formula>1</formula>
    </cfRule>
  </conditionalFormatting>
  <conditionalFormatting sqref="Q51:Q53">
    <cfRule type="cellIs" dxfId="464" priority="352" operator="lessThan">
      <formula>1</formula>
    </cfRule>
  </conditionalFormatting>
  <conditionalFormatting sqref="Q54">
    <cfRule type="cellIs" dxfId="463" priority="351" operator="lessThan">
      <formula>1</formula>
    </cfRule>
  </conditionalFormatting>
  <conditionalFormatting sqref="Q56:Q57">
    <cfRule type="cellIs" dxfId="462" priority="350" operator="lessThan">
      <formula>1</formula>
    </cfRule>
  </conditionalFormatting>
  <conditionalFormatting sqref="Q59:Q60">
    <cfRule type="cellIs" dxfId="461" priority="349" operator="lessThan">
      <formula>1</formula>
    </cfRule>
  </conditionalFormatting>
  <conditionalFormatting sqref="O66:O86">
    <cfRule type="cellIs" dxfId="460" priority="348" operator="lessThan">
      <formula>0</formula>
    </cfRule>
  </conditionalFormatting>
  <conditionalFormatting sqref="P66:P86">
    <cfRule type="cellIs" dxfId="459" priority="347" operator="lessThan">
      <formula>0</formula>
    </cfRule>
  </conditionalFormatting>
  <conditionalFormatting sqref="Q87">
    <cfRule type="cellIs" dxfId="458" priority="345" operator="lessThan">
      <formula>1</formula>
    </cfRule>
  </conditionalFormatting>
  <conditionalFormatting sqref="O87">
    <cfRule type="cellIs" dxfId="457" priority="346" operator="lessThan">
      <formula>0</formula>
    </cfRule>
  </conditionalFormatting>
  <conditionalFormatting sqref="P87">
    <cfRule type="cellIs" dxfId="456" priority="344" operator="lessThan">
      <formula>0</formula>
    </cfRule>
  </conditionalFormatting>
  <conditionalFormatting sqref="O88">
    <cfRule type="cellIs" dxfId="455" priority="343" operator="lessThan">
      <formula>0</formula>
    </cfRule>
  </conditionalFormatting>
  <conditionalFormatting sqref="Q66:Q72">
    <cfRule type="cellIs" dxfId="454" priority="342" operator="lessThan">
      <formula>1</formula>
    </cfRule>
  </conditionalFormatting>
  <conditionalFormatting sqref="Q75">
    <cfRule type="cellIs" dxfId="453" priority="341" operator="lessThan">
      <formula>1</formula>
    </cfRule>
  </conditionalFormatting>
  <conditionalFormatting sqref="Q77:Q78">
    <cfRule type="cellIs" dxfId="452" priority="340" operator="lessThan">
      <formula>1</formula>
    </cfRule>
  </conditionalFormatting>
  <conditionalFormatting sqref="Q80:Q81">
    <cfRule type="cellIs" dxfId="451" priority="339" operator="lessThan">
      <formula>1</formula>
    </cfRule>
  </conditionalFormatting>
  <conditionalFormatting sqref="Q83">
    <cfRule type="cellIs" dxfId="450" priority="338" operator="lessThan">
      <formula>1</formula>
    </cfRule>
  </conditionalFormatting>
  <conditionalFormatting sqref="Q85:Q86">
    <cfRule type="cellIs" dxfId="449" priority="337" operator="lessThan">
      <formula>1</formula>
    </cfRule>
  </conditionalFormatting>
  <conditionalFormatting sqref="N92:N96">
    <cfRule type="cellIs" dxfId="448" priority="336" operator="lessThan">
      <formula>0</formula>
    </cfRule>
  </conditionalFormatting>
  <conditionalFormatting sqref="P92:P96">
    <cfRule type="cellIs" dxfId="447" priority="335" operator="lessThan">
      <formula>0</formula>
    </cfRule>
  </conditionalFormatting>
  <conditionalFormatting sqref="N97">
    <cfRule type="cellIs" dxfId="446" priority="334" operator="lessThan">
      <formula>0</formula>
    </cfRule>
  </conditionalFormatting>
  <conditionalFormatting sqref="P97">
    <cfRule type="cellIs" dxfId="445" priority="332" operator="lessThan">
      <formula>0</formula>
    </cfRule>
  </conditionalFormatting>
  <conditionalFormatting sqref="Q97">
    <cfRule type="cellIs" dxfId="444" priority="333" operator="lessThan">
      <formula>1</formula>
    </cfRule>
  </conditionalFormatting>
  <conditionalFormatting sqref="N98">
    <cfRule type="cellIs" dxfId="443" priority="331" operator="lessThan">
      <formula>0</formula>
    </cfRule>
  </conditionalFormatting>
  <conditionalFormatting sqref="Q92:Q96">
    <cfRule type="cellIs" dxfId="442" priority="330" operator="lessThan">
      <formula>1</formula>
    </cfRule>
  </conditionalFormatting>
  <conditionalFormatting sqref="N102:N107 N112:N133 N135:N144">
    <cfRule type="cellIs" dxfId="441" priority="329" operator="lessThan">
      <formula>0</formula>
    </cfRule>
  </conditionalFormatting>
  <conditionalFormatting sqref="N145">
    <cfRule type="cellIs" dxfId="440" priority="328" operator="lessThan">
      <formula>0</formula>
    </cfRule>
  </conditionalFormatting>
  <conditionalFormatting sqref="N146">
    <cfRule type="cellIs" dxfId="439" priority="327" operator="lessThan">
      <formula>0</formula>
    </cfRule>
  </conditionalFormatting>
  <conditionalFormatting sqref="R4:R9 R11">
    <cfRule type="cellIs" dxfId="438" priority="326" operator="lessThan">
      <formula>0</formula>
    </cfRule>
  </conditionalFormatting>
  <conditionalFormatting sqref="R12">
    <cfRule type="cellIs" dxfId="437" priority="325" operator="lessThan">
      <formula>0.01</formula>
    </cfRule>
  </conditionalFormatting>
  <conditionalFormatting sqref="U41">
    <cfRule type="cellIs" dxfId="436" priority="323" operator="lessThan">
      <formula>1</formula>
    </cfRule>
  </conditionalFormatting>
  <conditionalFormatting sqref="S41">
    <cfRule type="cellIs" dxfId="435" priority="324" operator="lessThan">
      <formula>0</formula>
    </cfRule>
  </conditionalFormatting>
  <conditionalFormatting sqref="T41">
    <cfRule type="cellIs" dxfId="434" priority="322" operator="lessThan">
      <formula>0</formula>
    </cfRule>
  </conditionalFormatting>
  <conditionalFormatting sqref="S42">
    <cfRule type="cellIs" dxfId="433" priority="321" operator="lessThan">
      <formula>0</formula>
    </cfRule>
  </conditionalFormatting>
  <conditionalFormatting sqref="S19:S26">
    <cfRule type="cellIs" dxfId="432" priority="320" operator="lessThan">
      <formula>0</formula>
    </cfRule>
  </conditionalFormatting>
  <conditionalFormatting sqref="T19:T26">
    <cfRule type="cellIs" dxfId="431" priority="319" operator="lessThan">
      <formula>0</formula>
    </cfRule>
  </conditionalFormatting>
  <conditionalFormatting sqref="U19:U26">
    <cfRule type="cellIs" dxfId="430" priority="318" operator="lessThan">
      <formula>1</formula>
    </cfRule>
  </conditionalFormatting>
  <conditionalFormatting sqref="S27:S40">
    <cfRule type="cellIs" dxfId="429" priority="317" operator="lessThan">
      <formula>0</formula>
    </cfRule>
  </conditionalFormatting>
  <conditionalFormatting sqref="T27:T40">
    <cfRule type="cellIs" dxfId="428" priority="316" operator="lessThan">
      <formula>0</formula>
    </cfRule>
  </conditionalFormatting>
  <conditionalFormatting sqref="U27:U40">
    <cfRule type="cellIs" dxfId="427" priority="315" operator="lessThan">
      <formula>1</formula>
    </cfRule>
  </conditionalFormatting>
  <conditionalFormatting sqref="S61">
    <cfRule type="cellIs" dxfId="426" priority="314" operator="lessThan">
      <formula>0</formula>
    </cfRule>
  </conditionalFormatting>
  <conditionalFormatting sqref="T61">
    <cfRule type="cellIs" dxfId="425" priority="313" operator="lessThan">
      <formula>0</formula>
    </cfRule>
  </conditionalFormatting>
  <conditionalFormatting sqref="U61">
    <cfRule type="cellIs" dxfId="424" priority="312" operator="lessThan">
      <formula>1</formula>
    </cfRule>
  </conditionalFormatting>
  <conditionalFormatting sqref="S62">
    <cfRule type="cellIs" dxfId="423" priority="311" operator="lessThan">
      <formula>0</formula>
    </cfRule>
  </conditionalFormatting>
  <conditionalFormatting sqref="S46:S60">
    <cfRule type="cellIs" dxfId="422" priority="310" operator="lessThan">
      <formula>0</formula>
    </cfRule>
  </conditionalFormatting>
  <conditionalFormatting sqref="T46:T60">
    <cfRule type="cellIs" dxfId="421" priority="309" operator="lessThan">
      <formula>0</formula>
    </cfRule>
  </conditionalFormatting>
  <conditionalFormatting sqref="U46:U57 U60">
    <cfRule type="cellIs" dxfId="420" priority="308" operator="lessThan">
      <formula>1</formula>
    </cfRule>
  </conditionalFormatting>
  <conditionalFormatting sqref="U87">
    <cfRule type="cellIs" dxfId="419" priority="306" operator="lessThan">
      <formula>1</formula>
    </cfRule>
  </conditionalFormatting>
  <conditionalFormatting sqref="S87">
    <cfRule type="cellIs" dxfId="418" priority="307" operator="lessThan">
      <formula>0</formula>
    </cfRule>
  </conditionalFormatting>
  <conditionalFormatting sqref="T87">
    <cfRule type="cellIs" dxfId="417" priority="305" operator="lessThan">
      <formula>0</formula>
    </cfRule>
  </conditionalFormatting>
  <conditionalFormatting sqref="S88">
    <cfRule type="cellIs" dxfId="416" priority="304" operator="lessThan">
      <formula>0</formula>
    </cfRule>
  </conditionalFormatting>
  <conditionalFormatting sqref="S66:S86">
    <cfRule type="cellIs" dxfId="415" priority="303" operator="lessThan">
      <formula>0</formula>
    </cfRule>
  </conditionalFormatting>
  <conditionalFormatting sqref="T66:T86">
    <cfRule type="cellIs" dxfId="414" priority="302" operator="lessThan">
      <formula>0</formula>
    </cfRule>
  </conditionalFormatting>
  <conditionalFormatting sqref="U66:U86">
    <cfRule type="cellIs" dxfId="413" priority="301" operator="lessThan">
      <formula>1</formula>
    </cfRule>
  </conditionalFormatting>
  <conditionalFormatting sqref="R92:R96">
    <cfRule type="cellIs" dxfId="412" priority="300" operator="lessThan">
      <formula>0</formula>
    </cfRule>
  </conditionalFormatting>
  <conditionalFormatting sqref="R97">
    <cfRule type="cellIs" dxfId="411" priority="299" operator="lessThan">
      <formula>0</formula>
    </cfRule>
  </conditionalFormatting>
  <conditionalFormatting sqref="T97">
    <cfRule type="cellIs" dxfId="410" priority="297" operator="lessThan">
      <formula>0</formula>
    </cfRule>
  </conditionalFormatting>
  <conditionalFormatting sqref="U97">
    <cfRule type="cellIs" dxfId="409" priority="298" operator="lessThan">
      <formula>1</formula>
    </cfRule>
  </conditionalFormatting>
  <conditionalFormatting sqref="R98">
    <cfRule type="cellIs" dxfId="408" priority="296" operator="lessThan">
      <formula>0</formula>
    </cfRule>
  </conditionalFormatting>
  <conditionalFormatting sqref="T92:T96">
    <cfRule type="cellIs" dxfId="407" priority="295" operator="lessThan">
      <formula>0</formula>
    </cfRule>
  </conditionalFormatting>
  <conditionalFormatting sqref="U92:U96">
    <cfRule type="cellIs" dxfId="406" priority="294" operator="lessThan">
      <formula>1</formula>
    </cfRule>
  </conditionalFormatting>
  <conditionalFormatting sqref="R102:R107 R111:R133 R135:R144">
    <cfRule type="cellIs" dxfId="405" priority="293" operator="lessThan">
      <formula>0</formula>
    </cfRule>
  </conditionalFormatting>
  <conditionalFormatting sqref="R145">
    <cfRule type="cellIs" dxfId="404" priority="292" operator="lessThan">
      <formula>0</formula>
    </cfRule>
  </conditionalFormatting>
  <conditionalFormatting sqref="R146">
    <cfRule type="cellIs" dxfId="403" priority="291" operator="lessThan">
      <formula>0</formula>
    </cfRule>
  </conditionalFormatting>
  <conditionalFormatting sqref="V4:V9 V11">
    <cfRule type="cellIs" dxfId="402" priority="290" operator="lessThan">
      <formula>0</formula>
    </cfRule>
  </conditionalFormatting>
  <conditionalFormatting sqref="V12">
    <cfRule type="cellIs" dxfId="401" priority="289" operator="lessThan">
      <formula>0.01</formula>
    </cfRule>
  </conditionalFormatting>
  <conditionalFormatting sqref="Y41">
    <cfRule type="cellIs" dxfId="400" priority="287" operator="lessThan">
      <formula>1</formula>
    </cfRule>
  </conditionalFormatting>
  <conditionalFormatting sqref="W41">
    <cfRule type="cellIs" dxfId="399" priority="288" operator="lessThan">
      <formula>0</formula>
    </cfRule>
  </conditionalFormatting>
  <conditionalFormatting sqref="X41">
    <cfRule type="cellIs" dxfId="398" priority="286" operator="lessThan">
      <formula>0</formula>
    </cfRule>
  </conditionalFormatting>
  <conditionalFormatting sqref="W42">
    <cfRule type="cellIs" dxfId="397" priority="285" operator="lessThan">
      <formula>0</formula>
    </cfRule>
  </conditionalFormatting>
  <conditionalFormatting sqref="W19:W40">
    <cfRule type="cellIs" dxfId="396" priority="284" operator="lessThan">
      <formula>0</formula>
    </cfRule>
  </conditionalFormatting>
  <conditionalFormatting sqref="X19:X40">
    <cfRule type="cellIs" dxfId="395" priority="283" operator="lessThan">
      <formula>0</formula>
    </cfRule>
  </conditionalFormatting>
  <conditionalFormatting sqref="Y26">
    <cfRule type="cellIs" dxfId="394" priority="282" operator="lessThan">
      <formula>1</formula>
    </cfRule>
  </conditionalFormatting>
  <conditionalFormatting sqref="Y19:Y25">
    <cfRule type="cellIs" dxfId="393" priority="281" operator="lessThan">
      <formula>1</formula>
    </cfRule>
  </conditionalFormatting>
  <conditionalFormatting sqref="Y27:Y40">
    <cfRule type="cellIs" dxfId="392" priority="280" operator="lessThan">
      <formula>1</formula>
    </cfRule>
  </conditionalFormatting>
  <conditionalFormatting sqref="W46:W60">
    <cfRule type="cellIs" dxfId="391" priority="279" operator="lessThan">
      <formula>0</formula>
    </cfRule>
  </conditionalFormatting>
  <conditionalFormatting sqref="X46:X60">
    <cfRule type="cellIs" dxfId="390" priority="278" operator="lessThan">
      <formula>0</formula>
    </cfRule>
  </conditionalFormatting>
  <conditionalFormatting sqref="Y58">
    <cfRule type="cellIs" dxfId="389" priority="277" operator="lessThan">
      <formula>1</formula>
    </cfRule>
  </conditionalFormatting>
  <conditionalFormatting sqref="W61">
    <cfRule type="cellIs" dxfId="388" priority="276" operator="lessThan">
      <formula>0</formula>
    </cfRule>
  </conditionalFormatting>
  <conditionalFormatting sqref="X61">
    <cfRule type="cellIs" dxfId="387" priority="275" operator="lessThan">
      <formula>0</formula>
    </cfRule>
  </conditionalFormatting>
  <conditionalFormatting sqref="Y61">
    <cfRule type="cellIs" dxfId="386" priority="274" operator="lessThan">
      <formula>1</formula>
    </cfRule>
  </conditionalFormatting>
  <conditionalFormatting sqref="W62">
    <cfRule type="cellIs" dxfId="385" priority="273" operator="lessThan">
      <formula>0</formula>
    </cfRule>
  </conditionalFormatting>
  <conditionalFormatting sqref="Y46:Y57">
    <cfRule type="cellIs" dxfId="384" priority="272" operator="lessThan">
      <formula>1</formula>
    </cfRule>
  </conditionalFormatting>
  <conditionalFormatting sqref="Y87">
    <cfRule type="cellIs" dxfId="383" priority="270" operator="lessThan">
      <formula>1</formula>
    </cfRule>
  </conditionalFormatting>
  <conditionalFormatting sqref="W87">
    <cfRule type="cellIs" dxfId="382" priority="271" operator="lessThan">
      <formula>0</formula>
    </cfRule>
  </conditionalFormatting>
  <conditionalFormatting sqref="X87">
    <cfRule type="cellIs" dxfId="381" priority="269" operator="lessThan">
      <formula>0</formula>
    </cfRule>
  </conditionalFormatting>
  <conditionalFormatting sqref="W88">
    <cfRule type="cellIs" dxfId="380" priority="268" operator="lessThan">
      <formula>0</formula>
    </cfRule>
  </conditionalFormatting>
  <conditionalFormatting sqref="W66:W86">
    <cfRule type="cellIs" dxfId="379" priority="267" operator="lessThan">
      <formula>0</formula>
    </cfRule>
  </conditionalFormatting>
  <conditionalFormatting sqref="X66:X86">
    <cfRule type="cellIs" dxfId="378" priority="266" operator="lessThan">
      <formula>0</formula>
    </cfRule>
  </conditionalFormatting>
  <conditionalFormatting sqref="Y66:Y86">
    <cfRule type="cellIs" dxfId="377" priority="265" operator="lessThan">
      <formula>1</formula>
    </cfRule>
  </conditionalFormatting>
  <conditionalFormatting sqref="V97">
    <cfRule type="cellIs" dxfId="376" priority="264" operator="lessThan">
      <formula>0</formula>
    </cfRule>
  </conditionalFormatting>
  <conditionalFormatting sqref="X97">
    <cfRule type="cellIs" dxfId="375" priority="262" operator="lessThan">
      <formula>0</formula>
    </cfRule>
  </conditionalFormatting>
  <conditionalFormatting sqref="Y97">
    <cfRule type="cellIs" dxfId="374" priority="263" operator="lessThan">
      <formula>1</formula>
    </cfRule>
  </conditionalFormatting>
  <conditionalFormatting sqref="V98">
    <cfRule type="cellIs" dxfId="373" priority="261" operator="lessThan">
      <formula>0</formula>
    </cfRule>
  </conditionalFormatting>
  <conditionalFormatting sqref="V92:V96">
    <cfRule type="cellIs" dxfId="372" priority="260" operator="lessThan">
      <formula>0</formula>
    </cfRule>
  </conditionalFormatting>
  <conditionalFormatting sqref="X92:X96">
    <cfRule type="cellIs" dxfId="371" priority="259" operator="lessThan">
      <formula>0</formula>
    </cfRule>
  </conditionalFormatting>
  <conditionalFormatting sqref="Y92:Y96">
    <cfRule type="cellIs" dxfId="370" priority="258" operator="lessThan">
      <formula>1</formula>
    </cfRule>
  </conditionalFormatting>
  <conditionalFormatting sqref="V102:V107 V111:V133 V135:V142">
    <cfRule type="cellIs" dxfId="369" priority="257" operator="lessThan">
      <formula>0</formula>
    </cfRule>
  </conditionalFormatting>
  <conditionalFormatting sqref="V145">
    <cfRule type="cellIs" dxfId="368" priority="256" operator="lessThan">
      <formula>0</formula>
    </cfRule>
  </conditionalFormatting>
  <conditionalFormatting sqref="V146">
    <cfRule type="cellIs" dxfId="367" priority="255" operator="lessThan">
      <formula>0</formula>
    </cfRule>
  </conditionalFormatting>
  <conditionalFormatting sqref="R108:R110">
    <cfRule type="cellIs" dxfId="366" priority="254" operator="lessThan">
      <formula>0</formula>
    </cfRule>
  </conditionalFormatting>
  <conditionalFormatting sqref="V108">
    <cfRule type="cellIs" dxfId="365" priority="253" operator="lessThan">
      <formula>0</formula>
    </cfRule>
  </conditionalFormatting>
  <conditionalFormatting sqref="R134">
    <cfRule type="cellIs" dxfId="364" priority="252" operator="lessThan">
      <formula>0</formula>
    </cfRule>
  </conditionalFormatting>
  <conditionalFormatting sqref="V134">
    <cfRule type="cellIs" dxfId="363" priority="251" operator="lessThan">
      <formula>0</formula>
    </cfRule>
  </conditionalFormatting>
  <conditionalFormatting sqref="N108:N111">
    <cfRule type="cellIs" dxfId="362" priority="250" operator="lessThan">
      <formula>0</formula>
    </cfRule>
  </conditionalFormatting>
  <conditionalFormatting sqref="N134">
    <cfRule type="cellIs" dxfId="361" priority="249" operator="lessThan">
      <formula>0</formula>
    </cfRule>
  </conditionalFormatting>
  <conditionalFormatting sqref="Z4:Z9 Z11">
    <cfRule type="cellIs" dxfId="360" priority="248" operator="lessThan">
      <formula>0</formula>
    </cfRule>
  </conditionalFormatting>
  <conditionalFormatting sqref="Z12">
    <cfRule type="cellIs" dxfId="359" priority="247" operator="lessThan">
      <formula>0.01</formula>
    </cfRule>
  </conditionalFormatting>
  <conditionalFormatting sqref="AA19:AA40">
    <cfRule type="cellIs" dxfId="358" priority="246" operator="lessThan">
      <formula>0</formula>
    </cfRule>
  </conditionalFormatting>
  <conditionalFormatting sqref="AB19:AB40">
    <cfRule type="cellIs" dxfId="357" priority="245" operator="lessThan">
      <formula>0</formula>
    </cfRule>
  </conditionalFormatting>
  <conditionalFormatting sqref="AC26">
    <cfRule type="cellIs" dxfId="356" priority="244" operator="lessThan">
      <formula>1</formula>
    </cfRule>
  </conditionalFormatting>
  <conditionalFormatting sqref="AC41">
    <cfRule type="cellIs" dxfId="355" priority="242" operator="lessThan">
      <formula>1</formula>
    </cfRule>
  </conditionalFormatting>
  <conditionalFormatting sqref="AA41">
    <cfRule type="cellIs" dxfId="354" priority="243" operator="lessThan">
      <formula>0</formula>
    </cfRule>
  </conditionalFormatting>
  <conditionalFormatting sqref="AB41">
    <cfRule type="cellIs" dxfId="353" priority="241" operator="lessThan">
      <formula>0</formula>
    </cfRule>
  </conditionalFormatting>
  <conditionalFormatting sqref="AA42">
    <cfRule type="cellIs" dxfId="352" priority="240" operator="lessThan">
      <formula>0</formula>
    </cfRule>
  </conditionalFormatting>
  <conditionalFormatting sqref="AC19:AC25">
    <cfRule type="cellIs" dxfId="351" priority="239" operator="lessThan">
      <formula>1</formula>
    </cfRule>
  </conditionalFormatting>
  <conditionalFormatting sqref="AC27:AC40">
    <cfRule type="cellIs" dxfId="350" priority="238" operator="lessThan">
      <formula>1</formula>
    </cfRule>
  </conditionalFormatting>
  <conditionalFormatting sqref="AA61">
    <cfRule type="cellIs" dxfId="349" priority="237" operator="lessThan">
      <formula>0</formula>
    </cfRule>
  </conditionalFormatting>
  <conditionalFormatting sqref="AB61">
    <cfRule type="cellIs" dxfId="348" priority="236" operator="lessThan">
      <formula>0</formula>
    </cfRule>
  </conditionalFormatting>
  <conditionalFormatting sqref="AC61">
    <cfRule type="cellIs" dxfId="347" priority="235" operator="lessThan">
      <formula>1</formula>
    </cfRule>
  </conditionalFormatting>
  <conditionalFormatting sqref="AA62">
    <cfRule type="cellIs" dxfId="346" priority="234" operator="lessThan">
      <formula>0</formula>
    </cfRule>
  </conditionalFormatting>
  <conditionalFormatting sqref="AA46:AA60">
    <cfRule type="cellIs" dxfId="345" priority="233" operator="lessThan">
      <formula>0</formula>
    </cfRule>
  </conditionalFormatting>
  <conditionalFormatting sqref="AB46:AB60">
    <cfRule type="cellIs" dxfId="344" priority="232" operator="lessThan">
      <formula>0</formula>
    </cfRule>
  </conditionalFormatting>
  <conditionalFormatting sqref="AC58:AC60">
    <cfRule type="cellIs" dxfId="343" priority="231" operator="lessThan">
      <formula>1</formula>
    </cfRule>
  </conditionalFormatting>
  <conditionalFormatting sqref="AC46:AC57">
    <cfRule type="cellIs" dxfId="342" priority="230" operator="lessThan">
      <formula>1</formula>
    </cfRule>
  </conditionalFormatting>
  <conditionalFormatting sqref="AC87">
    <cfRule type="cellIs" dxfId="341" priority="228" operator="lessThan">
      <formula>1</formula>
    </cfRule>
  </conditionalFormatting>
  <conditionalFormatting sqref="AA87">
    <cfRule type="cellIs" dxfId="340" priority="229" operator="lessThan">
      <formula>0</formula>
    </cfRule>
  </conditionalFormatting>
  <conditionalFormatting sqref="AB87">
    <cfRule type="cellIs" dxfId="339" priority="227" operator="lessThan">
      <formula>0</formula>
    </cfRule>
  </conditionalFormatting>
  <conditionalFormatting sqref="AA88">
    <cfRule type="cellIs" dxfId="338" priority="226" operator="lessThan">
      <formula>0</formula>
    </cfRule>
  </conditionalFormatting>
  <conditionalFormatting sqref="AA66:AA86">
    <cfRule type="cellIs" dxfId="337" priority="225" operator="lessThan">
      <formula>0</formula>
    </cfRule>
  </conditionalFormatting>
  <conditionalFormatting sqref="AB66:AB86">
    <cfRule type="cellIs" dxfId="336" priority="224" operator="lessThan">
      <formula>0</formula>
    </cfRule>
  </conditionalFormatting>
  <conditionalFormatting sqref="AC66:AC86">
    <cfRule type="cellIs" dxfId="335" priority="223" operator="lessThan">
      <formula>1</formula>
    </cfRule>
  </conditionalFormatting>
  <conditionalFormatting sqref="Z146">
    <cfRule type="cellIs" dxfId="334" priority="213" operator="lessThan">
      <formula>0</formula>
    </cfRule>
  </conditionalFormatting>
  <conditionalFormatting sqref="Z92:Z96">
    <cfRule type="cellIs" dxfId="333" priority="222" operator="lessThan">
      <formula>0</formula>
    </cfRule>
  </conditionalFormatting>
  <conditionalFormatting sqref="AB92:AB96">
    <cfRule type="cellIs" dxfId="332" priority="221" operator="lessThan">
      <formula>0</formula>
    </cfRule>
  </conditionalFormatting>
  <conditionalFormatting sqref="Z97">
    <cfRule type="cellIs" dxfId="331" priority="220" operator="lessThan">
      <formula>0</formula>
    </cfRule>
  </conditionalFormatting>
  <conditionalFormatting sqref="AB97">
    <cfRule type="cellIs" dxfId="330" priority="218" operator="lessThan">
      <formula>0</formula>
    </cfRule>
  </conditionalFormatting>
  <conditionalFormatting sqref="AC97">
    <cfRule type="cellIs" dxfId="329" priority="219" operator="lessThan">
      <formula>1</formula>
    </cfRule>
  </conditionalFormatting>
  <conditionalFormatting sqref="Z98">
    <cfRule type="cellIs" dxfId="328" priority="217" operator="lessThan">
      <formula>0</formula>
    </cfRule>
  </conditionalFormatting>
  <conditionalFormatting sqref="AC92:AC96">
    <cfRule type="cellIs" dxfId="327" priority="216" operator="lessThan">
      <formula>1</formula>
    </cfRule>
  </conditionalFormatting>
  <conditionalFormatting sqref="Z102:Z108 Z111:Z142">
    <cfRule type="cellIs" dxfId="326" priority="215" operator="lessThan">
      <formula>0</formula>
    </cfRule>
  </conditionalFormatting>
  <conditionalFormatting sqref="Z145">
    <cfRule type="cellIs" dxfId="325" priority="214" operator="lessThan">
      <formula>0</formula>
    </cfRule>
  </conditionalFormatting>
  <conditionalFormatting sqref="AD4:AD9 AD11">
    <cfRule type="cellIs" dxfId="324" priority="212" operator="lessThan">
      <formula>0</formula>
    </cfRule>
  </conditionalFormatting>
  <conditionalFormatting sqref="AD12">
    <cfRule type="cellIs" dxfId="323" priority="211" operator="lessThan">
      <formula>0.01</formula>
    </cfRule>
  </conditionalFormatting>
  <conditionalFormatting sqref="AE19:AE40">
    <cfRule type="cellIs" dxfId="322" priority="210" operator="lessThan">
      <formula>0</formula>
    </cfRule>
  </conditionalFormatting>
  <conditionalFormatting sqref="AF19:AF40">
    <cfRule type="cellIs" dxfId="321" priority="209" operator="lessThan">
      <formula>0</formula>
    </cfRule>
  </conditionalFormatting>
  <conditionalFormatting sqref="AG26">
    <cfRule type="cellIs" dxfId="320" priority="208" operator="lessThan">
      <formula>1</formula>
    </cfRule>
  </conditionalFormatting>
  <conditionalFormatting sqref="AG41">
    <cfRule type="cellIs" dxfId="319" priority="206" operator="lessThan">
      <formula>1</formula>
    </cfRule>
  </conditionalFormatting>
  <conditionalFormatting sqref="AE41">
    <cfRule type="cellIs" dxfId="318" priority="207" operator="lessThan">
      <formula>0</formula>
    </cfRule>
  </conditionalFormatting>
  <conditionalFormatting sqref="AF41">
    <cfRule type="cellIs" dxfId="317" priority="205" operator="lessThan">
      <formula>0</formula>
    </cfRule>
  </conditionalFormatting>
  <conditionalFormatting sqref="AE42">
    <cfRule type="cellIs" dxfId="316" priority="204" operator="lessThan">
      <formula>0</formula>
    </cfRule>
  </conditionalFormatting>
  <conditionalFormatting sqref="AE61">
    <cfRule type="cellIs" dxfId="315" priority="203" operator="lessThan">
      <formula>0</formula>
    </cfRule>
  </conditionalFormatting>
  <conditionalFormatting sqref="AF61">
    <cfRule type="cellIs" dxfId="314" priority="202" operator="lessThan">
      <formula>0</formula>
    </cfRule>
  </conditionalFormatting>
  <conditionalFormatting sqref="AG61">
    <cfRule type="cellIs" dxfId="313" priority="201" operator="lessThan">
      <formula>1</formula>
    </cfRule>
  </conditionalFormatting>
  <conditionalFormatting sqref="AE62">
    <cfRule type="cellIs" dxfId="312" priority="200" operator="lessThan">
      <formula>0</formula>
    </cfRule>
  </conditionalFormatting>
  <conditionalFormatting sqref="AE46:AE57">
    <cfRule type="cellIs" dxfId="311" priority="199" operator="lessThan">
      <formula>0</formula>
    </cfRule>
  </conditionalFormatting>
  <conditionalFormatting sqref="AF46:AF57">
    <cfRule type="cellIs" dxfId="310" priority="198" operator="lessThan">
      <formula>0</formula>
    </cfRule>
  </conditionalFormatting>
  <conditionalFormatting sqref="AE66:AE86">
    <cfRule type="cellIs" dxfId="309" priority="197" operator="lessThan">
      <formula>0</formula>
    </cfRule>
  </conditionalFormatting>
  <conditionalFormatting sqref="AF66:AF86">
    <cfRule type="cellIs" dxfId="308" priority="196" operator="lessThan">
      <formula>0</formula>
    </cfRule>
  </conditionalFormatting>
  <conditionalFormatting sqref="AG87">
    <cfRule type="cellIs" dxfId="307" priority="194" operator="lessThan">
      <formula>1</formula>
    </cfRule>
  </conditionalFormatting>
  <conditionalFormatting sqref="AG97">
    <cfRule type="cellIs" dxfId="306" priority="188" operator="lessThan">
      <formula>1</formula>
    </cfRule>
  </conditionalFormatting>
  <conditionalFormatting sqref="AE87">
    <cfRule type="cellIs" dxfId="305" priority="195" operator="lessThan">
      <formula>0</formula>
    </cfRule>
  </conditionalFormatting>
  <conditionalFormatting sqref="AF87">
    <cfRule type="cellIs" dxfId="304" priority="193" operator="lessThan">
      <formula>0</formula>
    </cfRule>
  </conditionalFormatting>
  <conditionalFormatting sqref="AE88">
    <cfRule type="cellIs" dxfId="303" priority="192" operator="lessThan">
      <formula>0</formula>
    </cfRule>
  </conditionalFormatting>
  <conditionalFormatting sqref="AD92:AD96">
    <cfRule type="cellIs" dxfId="302" priority="191" operator="lessThan">
      <formula>0</formula>
    </cfRule>
  </conditionalFormatting>
  <conditionalFormatting sqref="AF92:AF96">
    <cfRule type="cellIs" dxfId="301" priority="190" operator="lessThan">
      <formula>0</formula>
    </cfRule>
  </conditionalFormatting>
  <conditionalFormatting sqref="AG19:AG25">
    <cfRule type="cellIs" dxfId="300" priority="182" operator="lessThan">
      <formula>1</formula>
    </cfRule>
  </conditionalFormatting>
  <conditionalFormatting sqref="AD97">
    <cfRule type="cellIs" dxfId="299" priority="189" operator="lessThan">
      <formula>0</formula>
    </cfRule>
  </conditionalFormatting>
  <conditionalFormatting sqref="AF97">
    <cfRule type="cellIs" dxfId="298" priority="187" operator="lessThan">
      <formula>0</formula>
    </cfRule>
  </conditionalFormatting>
  <conditionalFormatting sqref="AD98">
    <cfRule type="cellIs" dxfId="297" priority="186" operator="lessThan">
      <formula>0</formula>
    </cfRule>
  </conditionalFormatting>
  <conditionalFormatting sqref="AD102:AD107 AD111:AD131 AD133:AD142">
    <cfRule type="cellIs" dxfId="296" priority="185" operator="lessThan">
      <formula>0</formula>
    </cfRule>
  </conditionalFormatting>
  <conditionalFormatting sqref="AD146">
    <cfRule type="cellIs" dxfId="295" priority="183" operator="lessThan">
      <formula>0</formula>
    </cfRule>
  </conditionalFormatting>
  <conditionalFormatting sqref="AD145">
    <cfRule type="cellIs" dxfId="294" priority="184" operator="lessThan">
      <formula>0</formula>
    </cfRule>
  </conditionalFormatting>
  <conditionalFormatting sqref="AG27:AG40">
    <cfRule type="cellIs" dxfId="293" priority="181" operator="lessThan">
      <formula>1</formula>
    </cfRule>
  </conditionalFormatting>
  <conditionalFormatting sqref="AG46:AG57">
    <cfRule type="cellIs" dxfId="292" priority="180" operator="lessThan">
      <formula>1</formula>
    </cfRule>
  </conditionalFormatting>
  <conditionalFormatting sqref="AG66:AG86">
    <cfRule type="cellIs" dxfId="291" priority="179" operator="lessThan">
      <formula>1</formula>
    </cfRule>
  </conditionalFormatting>
  <conditionalFormatting sqref="AG92:AG96">
    <cfRule type="cellIs" dxfId="290" priority="178" operator="lessThan">
      <formula>1</formula>
    </cfRule>
  </conditionalFormatting>
  <conditionalFormatting sqref="V109">
    <cfRule type="cellIs" dxfId="289" priority="177" operator="lessThan">
      <formula>0</formula>
    </cfRule>
  </conditionalFormatting>
  <conditionalFormatting sqref="V110 Z110 AD110">
    <cfRule type="cellIs" dxfId="288" priority="174" operator="lessThan">
      <formula>0</formula>
    </cfRule>
  </conditionalFormatting>
  <conditionalFormatting sqref="AD108">
    <cfRule type="cellIs" dxfId="287" priority="176" operator="lessThan">
      <formula>0</formula>
    </cfRule>
  </conditionalFormatting>
  <conditionalFormatting sqref="AD109">
    <cfRule type="cellIs" dxfId="286" priority="173" operator="lessThan">
      <formula>0</formula>
    </cfRule>
  </conditionalFormatting>
  <conditionalFormatting sqref="Z109">
    <cfRule type="cellIs" dxfId="285" priority="175" operator="lessThan">
      <formula>0</formula>
    </cfRule>
  </conditionalFormatting>
  <conditionalFormatting sqref="V143:V144 Z143:Z144 AD143:AD144">
    <cfRule type="cellIs" dxfId="284" priority="172" operator="lessThan">
      <formula>0</formula>
    </cfRule>
  </conditionalFormatting>
  <conditionalFormatting sqref="AH4:AH9 AH11">
    <cfRule type="cellIs" dxfId="283" priority="171" operator="lessThan">
      <formula>0</formula>
    </cfRule>
  </conditionalFormatting>
  <conditionalFormatting sqref="AH12">
    <cfRule type="cellIs" dxfId="282" priority="170" operator="lessThan">
      <formula>0.01</formula>
    </cfRule>
  </conditionalFormatting>
  <conditionalFormatting sqref="AI19:AI40">
    <cfRule type="cellIs" dxfId="281" priority="169" operator="lessThan">
      <formula>0</formula>
    </cfRule>
  </conditionalFormatting>
  <conditionalFormatting sqref="AJ19:AJ40">
    <cfRule type="cellIs" dxfId="280" priority="168" operator="lessThan">
      <formula>0</formula>
    </cfRule>
  </conditionalFormatting>
  <conditionalFormatting sqref="AK26">
    <cfRule type="cellIs" dxfId="279" priority="167" operator="lessThan">
      <formula>1</formula>
    </cfRule>
  </conditionalFormatting>
  <conditionalFormatting sqref="AK41">
    <cfRule type="cellIs" dxfId="278" priority="165" operator="lessThan">
      <formula>1</formula>
    </cfRule>
  </conditionalFormatting>
  <conditionalFormatting sqref="AI41">
    <cfRule type="cellIs" dxfId="277" priority="166" operator="lessThan">
      <formula>0</formula>
    </cfRule>
  </conditionalFormatting>
  <conditionalFormatting sqref="AJ41">
    <cfRule type="cellIs" dxfId="276" priority="164" operator="lessThan">
      <formula>0</formula>
    </cfRule>
  </conditionalFormatting>
  <conditionalFormatting sqref="AI42">
    <cfRule type="cellIs" dxfId="275" priority="163" operator="lessThan">
      <formula>0</formula>
    </cfRule>
  </conditionalFormatting>
  <conditionalFormatting sqref="AK21">
    <cfRule type="cellIs" dxfId="274" priority="162" operator="lessThan">
      <formula>1</formula>
    </cfRule>
  </conditionalFormatting>
  <conditionalFormatting sqref="AI61">
    <cfRule type="cellIs" dxfId="273" priority="161" operator="lessThan">
      <formula>0</formula>
    </cfRule>
  </conditionalFormatting>
  <conditionalFormatting sqref="AJ61">
    <cfRule type="cellIs" dxfId="272" priority="160" operator="lessThan">
      <formula>0</formula>
    </cfRule>
  </conditionalFormatting>
  <conditionalFormatting sqref="AK61">
    <cfRule type="cellIs" dxfId="271" priority="159" operator="lessThan">
      <formula>1</formula>
    </cfRule>
  </conditionalFormatting>
  <conditionalFormatting sqref="AI62">
    <cfRule type="cellIs" dxfId="270" priority="158" operator="lessThan">
      <formula>0</formula>
    </cfRule>
  </conditionalFormatting>
  <conditionalFormatting sqref="AI46:AI57">
    <cfRule type="cellIs" dxfId="269" priority="157" operator="lessThan">
      <formula>0</formula>
    </cfRule>
  </conditionalFormatting>
  <conditionalFormatting sqref="AJ46:AJ57">
    <cfRule type="cellIs" dxfId="268" priority="156" operator="lessThan">
      <formula>0</formula>
    </cfRule>
  </conditionalFormatting>
  <conditionalFormatting sqref="AK55">
    <cfRule type="cellIs" dxfId="267" priority="155" operator="lessThan">
      <formula>1</formula>
    </cfRule>
  </conditionalFormatting>
  <conditionalFormatting sqref="AI66:AI86">
    <cfRule type="cellIs" dxfId="266" priority="154" operator="lessThan">
      <formula>0</formula>
    </cfRule>
  </conditionalFormatting>
  <conditionalFormatting sqref="AJ66:AJ86">
    <cfRule type="cellIs" dxfId="265" priority="153" operator="lessThan">
      <formula>0</formula>
    </cfRule>
  </conditionalFormatting>
  <conditionalFormatting sqref="AK87">
    <cfRule type="cellIs" dxfId="264" priority="151" operator="lessThan">
      <formula>1</formula>
    </cfRule>
  </conditionalFormatting>
  <conditionalFormatting sqref="AI87">
    <cfRule type="cellIs" dxfId="263" priority="152" operator="lessThan">
      <formula>0</formula>
    </cfRule>
  </conditionalFormatting>
  <conditionalFormatting sqref="AJ87">
    <cfRule type="cellIs" dxfId="262" priority="150" operator="lessThan">
      <formula>0</formula>
    </cfRule>
  </conditionalFormatting>
  <conditionalFormatting sqref="AI88">
    <cfRule type="cellIs" dxfId="261" priority="149" operator="lessThan">
      <formula>0</formula>
    </cfRule>
  </conditionalFormatting>
  <conditionalFormatting sqref="AK92:AK96">
    <cfRule type="cellIs" dxfId="260" priority="133" operator="lessThan">
      <formula>1</formula>
    </cfRule>
  </conditionalFormatting>
  <conditionalFormatting sqref="AH92:AH96">
    <cfRule type="cellIs" dxfId="259" priority="148" operator="lessThan">
      <formula>0</formula>
    </cfRule>
  </conditionalFormatting>
  <conditionalFormatting sqref="AJ92:AJ96">
    <cfRule type="cellIs" dxfId="258" priority="147" operator="lessThan">
      <formula>0</formula>
    </cfRule>
  </conditionalFormatting>
  <conditionalFormatting sqref="AK97">
    <cfRule type="cellIs" dxfId="257" priority="145" operator="lessThan">
      <formula>1</formula>
    </cfRule>
  </conditionalFormatting>
  <conditionalFormatting sqref="AH97">
    <cfRule type="cellIs" dxfId="256" priority="146" operator="lessThan">
      <formula>0</formula>
    </cfRule>
  </conditionalFormatting>
  <conditionalFormatting sqref="AJ97">
    <cfRule type="cellIs" dxfId="255" priority="144" operator="lessThan">
      <formula>0</formula>
    </cfRule>
  </conditionalFormatting>
  <conditionalFormatting sqref="AH98">
    <cfRule type="cellIs" dxfId="254" priority="143" operator="lessThan">
      <formula>0</formula>
    </cfRule>
  </conditionalFormatting>
  <conditionalFormatting sqref="AH102:AH121 AH133:AH141 AH123:AH131 AH143:AH144">
    <cfRule type="cellIs" dxfId="253" priority="142" operator="lessThan">
      <formula>0</formula>
    </cfRule>
  </conditionalFormatting>
  <conditionalFormatting sqref="AH146">
    <cfRule type="cellIs" dxfId="252" priority="140" operator="lessThan">
      <formula>0</formula>
    </cfRule>
  </conditionalFormatting>
  <conditionalFormatting sqref="AH145">
    <cfRule type="cellIs" dxfId="251" priority="141" operator="lessThan">
      <formula>0</formula>
    </cfRule>
  </conditionalFormatting>
  <conditionalFormatting sqref="AK19:AK20">
    <cfRule type="cellIs" dxfId="250" priority="139" operator="lessThan">
      <formula>1</formula>
    </cfRule>
  </conditionalFormatting>
  <conditionalFormatting sqref="AK22:AK25">
    <cfRule type="cellIs" dxfId="249" priority="138" operator="lessThan">
      <formula>1</formula>
    </cfRule>
  </conditionalFormatting>
  <conditionalFormatting sqref="AK27:AK40">
    <cfRule type="cellIs" dxfId="248" priority="137" operator="lessThan">
      <formula>1</formula>
    </cfRule>
  </conditionalFormatting>
  <conditionalFormatting sqref="AK46:AK54">
    <cfRule type="cellIs" dxfId="247" priority="136" operator="lessThan">
      <formula>1</formula>
    </cfRule>
  </conditionalFormatting>
  <conditionalFormatting sqref="AK57">
    <cfRule type="cellIs" dxfId="246" priority="135" operator="lessThan">
      <formula>1</formula>
    </cfRule>
  </conditionalFormatting>
  <conditionalFormatting sqref="AK66:AK86">
    <cfRule type="cellIs" dxfId="245" priority="134" operator="lessThan">
      <formula>1</formula>
    </cfRule>
  </conditionalFormatting>
  <conditionalFormatting sqref="AL4:AL9 AL11">
    <cfRule type="cellIs" dxfId="244" priority="132" operator="lessThan">
      <formula>0</formula>
    </cfRule>
  </conditionalFormatting>
  <conditionalFormatting sqref="AL12">
    <cfRule type="cellIs" dxfId="243" priority="131" operator="lessThan">
      <formula>0.01</formula>
    </cfRule>
  </conditionalFormatting>
  <conditionalFormatting sqref="AM19:AM40">
    <cfRule type="cellIs" dxfId="242" priority="130" operator="lessThan">
      <formula>0</formula>
    </cfRule>
  </conditionalFormatting>
  <conditionalFormatting sqref="AN19:AN40">
    <cfRule type="cellIs" dxfId="241" priority="129" operator="lessThan">
      <formula>0</formula>
    </cfRule>
  </conditionalFormatting>
  <conditionalFormatting sqref="AO41">
    <cfRule type="cellIs" dxfId="240" priority="127" operator="lessThan">
      <formula>1</formula>
    </cfRule>
  </conditionalFormatting>
  <conditionalFormatting sqref="AM41">
    <cfRule type="cellIs" dxfId="239" priority="128" operator="lessThan">
      <formula>0</formula>
    </cfRule>
  </conditionalFormatting>
  <conditionalFormatting sqref="AN41">
    <cfRule type="cellIs" dxfId="238" priority="126" operator="lessThan">
      <formula>0</formula>
    </cfRule>
  </conditionalFormatting>
  <conditionalFormatting sqref="AM42">
    <cfRule type="cellIs" dxfId="237" priority="125" operator="lessThan">
      <formula>0</formula>
    </cfRule>
  </conditionalFormatting>
  <conditionalFormatting sqref="AO19:AO25">
    <cfRule type="cellIs" dxfId="236" priority="124" operator="lessThan">
      <formula>1</formula>
    </cfRule>
  </conditionalFormatting>
  <conditionalFormatting sqref="AO27:AO34">
    <cfRule type="cellIs" dxfId="235" priority="123" operator="lessThan">
      <formula>1</formula>
    </cfRule>
  </conditionalFormatting>
  <conditionalFormatting sqref="AO36:AO40">
    <cfRule type="cellIs" dxfId="234" priority="122" operator="lessThan">
      <formula>1</formula>
    </cfRule>
  </conditionalFormatting>
  <conditionalFormatting sqref="AM46:AM57">
    <cfRule type="cellIs" dxfId="233" priority="121" operator="lessThan">
      <formula>0</formula>
    </cfRule>
  </conditionalFormatting>
  <conditionalFormatting sqref="AN46:AN57">
    <cfRule type="cellIs" dxfId="232" priority="120" operator="lessThan">
      <formula>0</formula>
    </cfRule>
  </conditionalFormatting>
  <conditionalFormatting sqref="AO55:AO56">
    <cfRule type="cellIs" dxfId="231" priority="119" operator="lessThan">
      <formula>1</formula>
    </cfRule>
  </conditionalFormatting>
  <conditionalFormatting sqref="AM61">
    <cfRule type="cellIs" dxfId="230" priority="118" operator="lessThan">
      <formula>0</formula>
    </cfRule>
  </conditionalFormatting>
  <conditionalFormatting sqref="AN61">
    <cfRule type="cellIs" dxfId="229" priority="117" operator="lessThan">
      <formula>0</formula>
    </cfRule>
  </conditionalFormatting>
  <conditionalFormatting sqref="AO61">
    <cfRule type="cellIs" dxfId="228" priority="116" operator="lessThan">
      <formula>1</formula>
    </cfRule>
  </conditionalFormatting>
  <conditionalFormatting sqref="AM62">
    <cfRule type="cellIs" dxfId="227" priority="115" operator="lessThan">
      <formula>0</formula>
    </cfRule>
  </conditionalFormatting>
  <conditionalFormatting sqref="AO46:AO54">
    <cfRule type="cellIs" dxfId="226" priority="114" operator="lessThan">
      <formula>1</formula>
    </cfRule>
  </conditionalFormatting>
  <conditionalFormatting sqref="AO57">
    <cfRule type="cellIs" dxfId="225" priority="113" operator="lessThan">
      <formula>1</formula>
    </cfRule>
  </conditionalFormatting>
  <conditionalFormatting sqref="AM66:AM86">
    <cfRule type="cellIs" dxfId="224" priority="112" operator="lessThan">
      <formula>0</formula>
    </cfRule>
  </conditionalFormatting>
  <conditionalFormatting sqref="AN66:AN86">
    <cfRule type="cellIs" dxfId="223" priority="111" operator="lessThan">
      <formula>0</formula>
    </cfRule>
  </conditionalFormatting>
  <conditionalFormatting sqref="AO87">
    <cfRule type="cellIs" dxfId="222" priority="109" operator="lessThan">
      <formula>1</formula>
    </cfRule>
  </conditionalFormatting>
  <conditionalFormatting sqref="AM87">
    <cfRule type="cellIs" dxfId="221" priority="110" operator="lessThan">
      <formula>0</formula>
    </cfRule>
  </conditionalFormatting>
  <conditionalFormatting sqref="AN87">
    <cfRule type="cellIs" dxfId="220" priority="108" operator="lessThan">
      <formula>0</formula>
    </cfRule>
  </conditionalFormatting>
  <conditionalFormatting sqref="AM88">
    <cfRule type="cellIs" dxfId="219" priority="107" operator="lessThan">
      <formula>0</formula>
    </cfRule>
  </conditionalFormatting>
  <conditionalFormatting sqref="AO66:AO86">
    <cfRule type="cellIs" dxfId="218" priority="106" operator="lessThan">
      <formula>1</formula>
    </cfRule>
  </conditionalFormatting>
  <conditionalFormatting sqref="AO97">
    <cfRule type="cellIs" dxfId="217" priority="104" operator="lessThan">
      <formula>1</formula>
    </cfRule>
  </conditionalFormatting>
  <conditionalFormatting sqref="AL97">
    <cfRule type="cellIs" dxfId="216" priority="105" operator="lessThan">
      <formula>0</formula>
    </cfRule>
  </conditionalFormatting>
  <conditionalFormatting sqref="AN97">
    <cfRule type="cellIs" dxfId="215" priority="103" operator="lessThan">
      <formula>0</formula>
    </cfRule>
  </conditionalFormatting>
  <conditionalFormatting sqref="AL98">
    <cfRule type="cellIs" dxfId="214" priority="102" operator="lessThan">
      <formula>0</formula>
    </cfRule>
  </conditionalFormatting>
  <conditionalFormatting sqref="AL92:AL96">
    <cfRule type="cellIs" dxfId="213" priority="101" operator="lessThan">
      <formula>0</formula>
    </cfRule>
  </conditionalFormatting>
  <conditionalFormatting sqref="AN92:AN96">
    <cfRule type="cellIs" dxfId="212" priority="100" operator="lessThan">
      <formula>0</formula>
    </cfRule>
  </conditionalFormatting>
  <conditionalFormatting sqref="AL102:AL121 AL133:AL136 AL123:AL131 AL143:AL144 AL138:AL141">
    <cfRule type="cellIs" dxfId="211" priority="99" operator="lessThan">
      <formula>0</formula>
    </cfRule>
  </conditionalFormatting>
  <conditionalFormatting sqref="AL146">
    <cfRule type="cellIs" dxfId="210" priority="97" operator="lessThan">
      <formula>0</formula>
    </cfRule>
  </conditionalFormatting>
  <conditionalFormatting sqref="AL145">
    <cfRule type="cellIs" dxfId="209" priority="98" operator="lessThan">
      <formula>0</formula>
    </cfRule>
  </conditionalFormatting>
  <conditionalFormatting sqref="AD132">
    <cfRule type="cellIs" dxfId="208" priority="96" operator="lessThan">
      <formula>0</formula>
    </cfRule>
  </conditionalFormatting>
  <conditionalFormatting sqref="AH132">
    <cfRule type="cellIs" dxfId="207" priority="95" operator="lessThan">
      <formula>0</formula>
    </cfRule>
  </conditionalFormatting>
  <conditionalFormatting sqref="AL132">
    <cfRule type="cellIs" dxfId="206" priority="94" operator="lessThan">
      <formula>0</formula>
    </cfRule>
  </conditionalFormatting>
  <conditionalFormatting sqref="AO92:AO96">
    <cfRule type="cellIs" dxfId="205" priority="93" operator="lessThan">
      <formula>1</formula>
    </cfRule>
  </conditionalFormatting>
  <conditionalFormatting sqref="AP4:AP9 AP11">
    <cfRule type="cellIs" dxfId="204" priority="92" operator="lessThan">
      <formula>0</formula>
    </cfRule>
  </conditionalFormatting>
  <conditionalFormatting sqref="AP12">
    <cfRule type="cellIs" dxfId="203" priority="91" operator="lessThan">
      <formula>0.01</formula>
    </cfRule>
  </conditionalFormatting>
  <conditionalFormatting sqref="AQ19:AQ39">
    <cfRule type="cellIs" dxfId="202" priority="90" operator="lessThan">
      <formula>0</formula>
    </cfRule>
  </conditionalFormatting>
  <conditionalFormatting sqref="AR19:AR39">
    <cfRule type="cellIs" dxfId="201" priority="89" operator="lessThan">
      <formula>0</formula>
    </cfRule>
  </conditionalFormatting>
  <conditionalFormatting sqref="AQ40">
    <cfRule type="cellIs" dxfId="200" priority="88" operator="lessThan">
      <formula>0</formula>
    </cfRule>
  </conditionalFormatting>
  <conditionalFormatting sqref="AR40">
    <cfRule type="cellIs" dxfId="199" priority="87" operator="lessThan">
      <formula>0</formula>
    </cfRule>
  </conditionalFormatting>
  <conditionalFormatting sqref="AS41">
    <cfRule type="cellIs" dxfId="198" priority="85" operator="lessThan">
      <formula>1</formula>
    </cfRule>
  </conditionalFormatting>
  <conditionalFormatting sqref="AQ41">
    <cfRule type="cellIs" dxfId="197" priority="86" operator="lessThan">
      <formula>0</formula>
    </cfRule>
  </conditionalFormatting>
  <conditionalFormatting sqref="AR41">
    <cfRule type="cellIs" dxfId="196" priority="84" operator="lessThan">
      <formula>0</formula>
    </cfRule>
  </conditionalFormatting>
  <conditionalFormatting sqref="AQ42">
    <cfRule type="cellIs" dxfId="195" priority="83" operator="lessThan">
      <formula>0</formula>
    </cfRule>
  </conditionalFormatting>
  <conditionalFormatting sqref="AQ46:AQ57">
    <cfRule type="cellIs" dxfId="194" priority="82" operator="lessThan">
      <formula>0</formula>
    </cfRule>
  </conditionalFormatting>
  <conditionalFormatting sqref="AR46:AR57">
    <cfRule type="cellIs" dxfId="193" priority="81" operator="lessThan">
      <formula>0</formula>
    </cfRule>
  </conditionalFormatting>
  <conditionalFormatting sqref="AS61">
    <cfRule type="cellIs" dxfId="192" priority="78" operator="lessThan">
      <formula>1</formula>
    </cfRule>
  </conditionalFormatting>
  <conditionalFormatting sqref="AQ61">
    <cfRule type="cellIs" dxfId="191" priority="80" operator="lessThan">
      <formula>0</formula>
    </cfRule>
  </conditionalFormatting>
  <conditionalFormatting sqref="AR61">
    <cfRule type="cellIs" dxfId="190" priority="79" operator="lessThan">
      <formula>0</formula>
    </cfRule>
  </conditionalFormatting>
  <conditionalFormatting sqref="AQ62">
    <cfRule type="cellIs" dxfId="189" priority="77" operator="lessThan">
      <formula>0</formula>
    </cfRule>
  </conditionalFormatting>
  <conditionalFormatting sqref="AQ66:AQ85">
    <cfRule type="cellIs" dxfId="188" priority="76" operator="lessThan">
      <formula>0</formula>
    </cfRule>
  </conditionalFormatting>
  <conditionalFormatting sqref="AR66:AR85">
    <cfRule type="cellIs" dxfId="187" priority="75" operator="lessThan">
      <formula>0</formula>
    </cfRule>
  </conditionalFormatting>
  <conditionalFormatting sqref="AS87">
    <cfRule type="cellIs" dxfId="186" priority="71" operator="lessThan">
      <formula>1</formula>
    </cfRule>
  </conditionalFormatting>
  <conditionalFormatting sqref="AQ86">
    <cfRule type="cellIs" dxfId="185" priority="74" operator="lessThan">
      <formula>0</formula>
    </cfRule>
  </conditionalFormatting>
  <conditionalFormatting sqref="AR86">
    <cfRule type="cellIs" dxfId="184" priority="73" operator="lessThan">
      <formula>0</formula>
    </cfRule>
  </conditionalFormatting>
  <conditionalFormatting sqref="AQ87">
    <cfRule type="cellIs" dxfId="183" priority="72" operator="lessThan">
      <formula>0</formula>
    </cfRule>
  </conditionalFormatting>
  <conditionalFormatting sqref="AR87">
    <cfRule type="cellIs" dxfId="182" priority="70" operator="lessThan">
      <formula>0</formula>
    </cfRule>
  </conditionalFormatting>
  <conditionalFormatting sqref="AQ88">
    <cfRule type="cellIs" dxfId="181" priority="69" operator="lessThan">
      <formula>0</formula>
    </cfRule>
  </conditionalFormatting>
  <conditionalFormatting sqref="AP92:AP96">
    <cfRule type="cellIs" dxfId="180" priority="68" operator="lessThan">
      <formula>0</formula>
    </cfRule>
  </conditionalFormatting>
  <conditionalFormatting sqref="AR92:AR96">
    <cfRule type="cellIs" dxfId="179" priority="67" operator="lessThan">
      <formula>0</formula>
    </cfRule>
  </conditionalFormatting>
  <conditionalFormatting sqref="AS97">
    <cfRule type="cellIs" dxfId="178" priority="65" operator="lessThan">
      <formula>1</formula>
    </cfRule>
  </conditionalFormatting>
  <conditionalFormatting sqref="AP97">
    <cfRule type="cellIs" dxfId="177" priority="66" operator="lessThan">
      <formula>0</formula>
    </cfRule>
  </conditionalFormatting>
  <conditionalFormatting sqref="AR97">
    <cfRule type="cellIs" dxfId="176" priority="64" operator="lessThan">
      <formula>0</formula>
    </cfRule>
  </conditionalFormatting>
  <conditionalFormatting sqref="AP98">
    <cfRule type="cellIs" dxfId="175" priority="63" operator="lessThan">
      <formula>0</formula>
    </cfRule>
  </conditionalFormatting>
  <conditionalFormatting sqref="AP102:AP121 AP123:AP136 AP143:AP144 AP138:AP141">
    <cfRule type="cellIs" dxfId="174" priority="62" operator="lessThan">
      <formula>0</formula>
    </cfRule>
  </conditionalFormatting>
  <conditionalFormatting sqref="AP146">
    <cfRule type="cellIs" dxfId="173" priority="60" operator="lessThan">
      <formula>0</formula>
    </cfRule>
  </conditionalFormatting>
  <conditionalFormatting sqref="AP145">
    <cfRule type="cellIs" dxfId="172" priority="61" operator="lessThan">
      <formula>0</formula>
    </cfRule>
  </conditionalFormatting>
  <conditionalFormatting sqref="AS19:AS40">
    <cfRule type="cellIs" dxfId="171" priority="59" operator="lessThan">
      <formula>1</formula>
    </cfRule>
  </conditionalFormatting>
  <conditionalFormatting sqref="AS46:AS57">
    <cfRule type="cellIs" dxfId="170" priority="58" operator="lessThan">
      <formula>1</formula>
    </cfRule>
  </conditionalFormatting>
  <conditionalFormatting sqref="AS66:AS86">
    <cfRule type="cellIs" dxfId="169" priority="57" operator="lessThan">
      <formula>1</formula>
    </cfRule>
  </conditionalFormatting>
  <conditionalFormatting sqref="AS92:AS96">
    <cfRule type="cellIs" dxfId="168" priority="56" operator="lessThan">
      <formula>1</formula>
    </cfRule>
  </conditionalFormatting>
  <conditionalFormatting sqref="AH122">
    <cfRule type="cellIs" dxfId="167" priority="55" operator="lessThan">
      <formula>0</formula>
    </cfRule>
  </conditionalFormatting>
  <conditionalFormatting sqref="AL122">
    <cfRule type="cellIs" dxfId="166" priority="54" operator="lessThan">
      <formula>0</formula>
    </cfRule>
  </conditionalFormatting>
  <conditionalFormatting sqref="AP122">
    <cfRule type="cellIs" dxfId="165" priority="53" operator="lessThan">
      <formula>0</formula>
    </cfRule>
  </conditionalFormatting>
  <conditionalFormatting sqref="AH142">
    <cfRule type="cellIs" dxfId="164" priority="52" operator="lessThan">
      <formula>0</formula>
    </cfRule>
  </conditionalFormatting>
  <conditionalFormatting sqref="AL142">
    <cfRule type="cellIs" dxfId="163" priority="51" operator="lessThan">
      <formula>0</formula>
    </cfRule>
  </conditionalFormatting>
  <conditionalFormatting sqref="AP142">
    <cfRule type="cellIs" dxfId="162" priority="50" operator="lessThan">
      <formula>0</formula>
    </cfRule>
  </conditionalFormatting>
  <conditionalFormatting sqref="AT4:AT9 AT11">
    <cfRule type="cellIs" dxfId="161" priority="49" operator="lessThan">
      <formula>0</formula>
    </cfRule>
  </conditionalFormatting>
  <conditionalFormatting sqref="AT12">
    <cfRule type="cellIs" dxfId="160" priority="48" operator="lessThan">
      <formula>0.01</formula>
    </cfRule>
  </conditionalFormatting>
  <conditionalFormatting sqref="AU19:AU39">
    <cfRule type="cellIs" dxfId="159" priority="47" operator="lessThan">
      <formula>0</formula>
    </cfRule>
  </conditionalFormatting>
  <conditionalFormatting sqref="AV19:AV39">
    <cfRule type="cellIs" dxfId="158" priority="46" operator="lessThan">
      <formula>0</formula>
    </cfRule>
  </conditionalFormatting>
  <conditionalFormatting sqref="AU40">
    <cfRule type="cellIs" dxfId="157" priority="45" operator="lessThan">
      <formula>0</formula>
    </cfRule>
  </conditionalFormatting>
  <conditionalFormatting sqref="AV40">
    <cfRule type="cellIs" dxfId="156" priority="44" operator="lessThan">
      <formula>0</formula>
    </cfRule>
  </conditionalFormatting>
  <conditionalFormatting sqref="AW41">
    <cfRule type="cellIs" dxfId="155" priority="42" operator="lessThan">
      <formula>1</formula>
    </cfRule>
  </conditionalFormatting>
  <conditionalFormatting sqref="AU41">
    <cfRule type="cellIs" dxfId="154" priority="43" operator="lessThan">
      <formula>0</formula>
    </cfRule>
  </conditionalFormatting>
  <conditionalFormatting sqref="AV41">
    <cfRule type="cellIs" dxfId="153" priority="41" operator="lessThan">
      <formula>0</formula>
    </cfRule>
  </conditionalFormatting>
  <conditionalFormatting sqref="AU42">
    <cfRule type="cellIs" dxfId="152" priority="40" operator="lessThan">
      <formula>0</formula>
    </cfRule>
  </conditionalFormatting>
  <conditionalFormatting sqref="AW26 AW33">
    <cfRule type="cellIs" dxfId="151" priority="39" operator="lessThan">
      <formula>1</formula>
    </cfRule>
  </conditionalFormatting>
  <conditionalFormatting sqref="AU46:AU57">
    <cfRule type="cellIs" dxfId="150" priority="38" operator="lessThan">
      <formula>0</formula>
    </cfRule>
  </conditionalFormatting>
  <conditionalFormatting sqref="AV46:AV57">
    <cfRule type="cellIs" dxfId="149" priority="37" operator="lessThan">
      <formula>0</formula>
    </cfRule>
  </conditionalFormatting>
  <conditionalFormatting sqref="AW61">
    <cfRule type="cellIs" dxfId="148" priority="34" operator="lessThan">
      <formula>1</formula>
    </cfRule>
  </conditionalFormatting>
  <conditionalFormatting sqref="AU61">
    <cfRule type="cellIs" dxfId="147" priority="36" operator="lessThan">
      <formula>0</formula>
    </cfRule>
  </conditionalFormatting>
  <conditionalFormatting sqref="AV61">
    <cfRule type="cellIs" dxfId="146" priority="35" operator="lessThan">
      <formula>0</formula>
    </cfRule>
  </conditionalFormatting>
  <conditionalFormatting sqref="AU62">
    <cfRule type="cellIs" dxfId="145" priority="33" operator="lessThan">
      <formula>0</formula>
    </cfRule>
  </conditionalFormatting>
  <conditionalFormatting sqref="AW55:AW57">
    <cfRule type="cellIs" dxfId="144" priority="32" operator="lessThan">
      <formula>1</formula>
    </cfRule>
  </conditionalFormatting>
  <conditionalFormatting sqref="AU66:AU85">
    <cfRule type="cellIs" dxfId="143" priority="31" operator="lessThan">
      <formula>0</formula>
    </cfRule>
  </conditionalFormatting>
  <conditionalFormatting sqref="AV66:AV85">
    <cfRule type="cellIs" dxfId="142" priority="30" operator="lessThan">
      <formula>0</formula>
    </cfRule>
  </conditionalFormatting>
  <conditionalFormatting sqref="AW87">
    <cfRule type="cellIs" dxfId="141" priority="26" operator="lessThan">
      <formula>1</formula>
    </cfRule>
  </conditionalFormatting>
  <conditionalFormatting sqref="AU86">
    <cfRule type="cellIs" dxfId="140" priority="29" operator="lessThan">
      <formula>0</formula>
    </cfRule>
  </conditionalFormatting>
  <conditionalFormatting sqref="AV86">
    <cfRule type="cellIs" dxfId="139" priority="28" operator="lessThan">
      <formula>0</formula>
    </cfRule>
  </conditionalFormatting>
  <conditionalFormatting sqref="AU87">
    <cfRule type="cellIs" dxfId="138" priority="27" operator="lessThan">
      <formula>0</formula>
    </cfRule>
  </conditionalFormatting>
  <conditionalFormatting sqref="AV87">
    <cfRule type="cellIs" dxfId="137" priority="25" operator="lessThan">
      <formula>0</formula>
    </cfRule>
  </conditionalFormatting>
  <conditionalFormatting sqref="AU88">
    <cfRule type="cellIs" dxfId="136" priority="24" operator="lessThan">
      <formula>0</formula>
    </cfRule>
  </conditionalFormatting>
  <conditionalFormatting sqref="AW79">
    <cfRule type="cellIs" dxfId="135" priority="23" operator="lessThan">
      <formula>1</formula>
    </cfRule>
  </conditionalFormatting>
  <conditionalFormatting sqref="AT92:AT96">
    <cfRule type="cellIs" dxfId="134" priority="22" operator="lessThan">
      <formula>0</formula>
    </cfRule>
  </conditionalFormatting>
  <conditionalFormatting sqref="AV92:AV96">
    <cfRule type="cellIs" dxfId="133" priority="21" operator="lessThan">
      <formula>0</formula>
    </cfRule>
  </conditionalFormatting>
  <conditionalFormatting sqref="AW97">
    <cfRule type="cellIs" dxfId="132" priority="19" operator="lessThan">
      <formula>1</formula>
    </cfRule>
  </conditionalFormatting>
  <conditionalFormatting sqref="AT97">
    <cfRule type="cellIs" dxfId="131" priority="20" operator="lessThan">
      <formula>0</formula>
    </cfRule>
  </conditionalFormatting>
  <conditionalFormatting sqref="AV97">
    <cfRule type="cellIs" dxfId="130" priority="18" operator="lessThan">
      <formula>0</formula>
    </cfRule>
  </conditionalFormatting>
  <conditionalFormatting sqref="AT98">
    <cfRule type="cellIs" dxfId="129" priority="17" operator="lessThan">
      <formula>0</formula>
    </cfRule>
  </conditionalFormatting>
  <conditionalFormatting sqref="AT102:AT136 AT138:AT144">
    <cfRule type="cellIs" dxfId="128" priority="15" operator="lessThan">
      <formula>0</formula>
    </cfRule>
  </conditionalFormatting>
  <conditionalFormatting sqref="AT146">
    <cfRule type="cellIs" dxfId="127" priority="13" operator="lessThan">
      <formula>0</formula>
    </cfRule>
  </conditionalFormatting>
  <conditionalFormatting sqref="AT145">
    <cfRule type="cellIs" dxfId="126" priority="14" operator="lessThan">
      <formula>0</formula>
    </cfRule>
  </conditionalFormatting>
  <conditionalFormatting sqref="AW19:AW25">
    <cfRule type="cellIs" dxfId="125" priority="12" operator="lessThan">
      <formula>1</formula>
    </cfRule>
  </conditionalFormatting>
  <conditionalFormatting sqref="AW27:AW32">
    <cfRule type="cellIs" dxfId="124" priority="11" operator="lessThan">
      <formula>1</formula>
    </cfRule>
  </conditionalFormatting>
  <conditionalFormatting sqref="AW34:AW35">
    <cfRule type="cellIs" dxfId="123" priority="10" operator="lessThan">
      <formula>1</formula>
    </cfRule>
  </conditionalFormatting>
  <conditionalFormatting sqref="AW36:AW40">
    <cfRule type="cellIs" dxfId="122" priority="9" operator="lessThan">
      <formula>1</formula>
    </cfRule>
  </conditionalFormatting>
  <conditionalFormatting sqref="AW46:AW54">
    <cfRule type="cellIs" dxfId="121" priority="8" operator="lessThan">
      <formula>1</formula>
    </cfRule>
  </conditionalFormatting>
  <conditionalFormatting sqref="AW66:AW70">
    <cfRule type="cellIs" dxfId="120" priority="7" operator="lessThan">
      <formula>1</formula>
    </cfRule>
  </conditionalFormatting>
  <conditionalFormatting sqref="AW71:AW78">
    <cfRule type="cellIs" dxfId="119" priority="6" operator="lessThan">
      <formula>1</formula>
    </cfRule>
  </conditionalFormatting>
  <conditionalFormatting sqref="AW80:AW86">
    <cfRule type="cellIs" dxfId="118" priority="5" operator="lessThan">
      <formula>1</formula>
    </cfRule>
  </conditionalFormatting>
  <conditionalFormatting sqref="AW92:AW96">
    <cfRule type="cellIs" dxfId="117" priority="4" operator="lessThan">
      <formula>1</formula>
    </cfRule>
  </conditionalFormatting>
  <conditionalFormatting sqref="AL137">
    <cfRule type="cellIs" dxfId="116" priority="3" operator="lessThan">
      <formula>0</formula>
    </cfRule>
  </conditionalFormatting>
  <conditionalFormatting sqref="AP137">
    <cfRule type="cellIs" dxfId="115" priority="2" operator="lessThan">
      <formula>0</formula>
    </cfRule>
  </conditionalFormatting>
  <conditionalFormatting sqref="AT137">
    <cfRule type="cellIs" dxfId="114" priority="1" operator="less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Q43"/>
  <sheetViews>
    <sheetView topLeftCell="A25" zoomScaleNormal="100" workbookViewId="0">
      <selection activeCell="C34" sqref="C34"/>
    </sheetView>
  </sheetViews>
  <sheetFormatPr baseColWidth="10" defaultRowHeight="15" x14ac:dyDescent="0.25"/>
  <cols>
    <col min="1" max="1" width="14.42578125" style="2" bestFit="1" customWidth="1"/>
    <col min="2" max="2" width="13" style="91" bestFit="1" customWidth="1"/>
    <col min="3" max="3" width="29.7109375" style="2" bestFit="1" customWidth="1"/>
    <col min="4" max="4" width="14.42578125" style="2" bestFit="1" customWidth="1"/>
    <col min="5" max="5" width="41" style="2" bestFit="1" customWidth="1"/>
    <col min="6" max="7" width="27.42578125" style="2" bestFit="1" customWidth="1"/>
    <col min="8" max="8" width="20.140625" style="2" bestFit="1" customWidth="1"/>
    <col min="9" max="9" width="13.85546875" style="2" bestFit="1" customWidth="1"/>
    <col min="10" max="10" width="8.28515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7" t="s">
        <v>357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90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94">
        <v>3027369</v>
      </c>
      <c r="C4" s="11" t="s">
        <v>50</v>
      </c>
      <c r="D4" s="66">
        <v>23891.9</v>
      </c>
      <c r="E4" s="11" t="s">
        <v>51</v>
      </c>
      <c r="F4" s="11" t="s">
        <v>46</v>
      </c>
      <c r="G4" s="11" t="s">
        <v>81</v>
      </c>
      <c r="H4" s="11" t="s">
        <v>97</v>
      </c>
      <c r="I4" s="11" t="s">
        <v>287</v>
      </c>
      <c r="J4" s="11" t="s">
        <v>288</v>
      </c>
      <c r="K4" s="11" t="s">
        <v>289</v>
      </c>
      <c r="L4" s="11">
        <v>120</v>
      </c>
      <c r="M4" s="11">
        <v>34560</v>
      </c>
      <c r="N4" s="60" t="s">
        <v>38</v>
      </c>
      <c r="O4" s="630">
        <v>110250.05</v>
      </c>
      <c r="P4" s="631">
        <f>O4/(D4+D6+D8+D10)*100</f>
        <v>30.70000034528783</v>
      </c>
      <c r="Q4" s="630">
        <f>(D4+D6+D8+D10)/(L4+L5+L6+L7+L8+L9+L10+L11)</f>
        <v>92.628496259994833</v>
      </c>
    </row>
    <row r="5" spans="1:17" ht="25.5" customHeight="1" x14ac:dyDescent="0.25">
      <c r="A5" s="10">
        <v>44470</v>
      </c>
      <c r="B5" s="94">
        <v>2816267</v>
      </c>
      <c r="C5" s="11" t="s">
        <v>9</v>
      </c>
      <c r="D5" s="66">
        <v>0</v>
      </c>
      <c r="E5" s="11"/>
      <c r="F5" s="11" t="s">
        <v>81</v>
      </c>
      <c r="G5" s="11" t="s">
        <v>74</v>
      </c>
      <c r="H5" s="11" t="s">
        <v>97</v>
      </c>
      <c r="I5" s="11" t="s">
        <v>287</v>
      </c>
      <c r="J5" s="11" t="s">
        <v>288</v>
      </c>
      <c r="K5" s="11" t="s">
        <v>289</v>
      </c>
      <c r="L5" s="11">
        <v>560</v>
      </c>
      <c r="M5" s="11">
        <v>0</v>
      </c>
      <c r="N5" s="60" t="s">
        <v>10</v>
      </c>
      <c r="O5" s="630"/>
      <c r="P5" s="631"/>
      <c r="Q5" s="630"/>
    </row>
    <row r="6" spans="1:17" ht="25.5" customHeight="1" x14ac:dyDescent="0.25">
      <c r="A6" s="10">
        <v>44472</v>
      </c>
      <c r="B6" s="94">
        <v>3028656</v>
      </c>
      <c r="C6" s="11" t="s">
        <v>50</v>
      </c>
      <c r="D6" s="66">
        <v>139403.35</v>
      </c>
      <c r="E6" s="11" t="s">
        <v>75</v>
      </c>
      <c r="F6" s="11" t="s">
        <v>74</v>
      </c>
      <c r="G6" s="11" t="s">
        <v>96</v>
      </c>
      <c r="H6" s="11" t="s">
        <v>97</v>
      </c>
      <c r="I6" s="11" t="s">
        <v>287</v>
      </c>
      <c r="J6" s="11" t="s">
        <v>288</v>
      </c>
      <c r="K6" s="11" t="s">
        <v>289</v>
      </c>
      <c r="L6" s="11">
        <v>805</v>
      </c>
      <c r="M6" s="11">
        <v>34260</v>
      </c>
      <c r="N6" s="60" t="s">
        <v>38</v>
      </c>
      <c r="O6" s="630"/>
      <c r="P6" s="631"/>
      <c r="Q6" s="630"/>
    </row>
    <row r="7" spans="1:17" ht="25.5" customHeight="1" x14ac:dyDescent="0.25">
      <c r="A7" s="10">
        <v>44474</v>
      </c>
      <c r="B7" s="94">
        <v>2816283</v>
      </c>
      <c r="C7" s="11" t="s">
        <v>9</v>
      </c>
      <c r="D7" s="66">
        <v>0</v>
      </c>
      <c r="E7" s="11"/>
      <c r="F7" s="11" t="s">
        <v>96</v>
      </c>
      <c r="G7" s="11" t="s">
        <v>74</v>
      </c>
      <c r="H7" s="11" t="s">
        <v>97</v>
      </c>
      <c r="I7" s="11" t="s">
        <v>287</v>
      </c>
      <c r="J7" s="11" t="s">
        <v>288</v>
      </c>
      <c r="K7" s="11" t="s">
        <v>289</v>
      </c>
      <c r="L7" s="11">
        <v>805</v>
      </c>
      <c r="M7" s="11">
        <v>0</v>
      </c>
      <c r="N7" s="60" t="s">
        <v>10</v>
      </c>
      <c r="O7" s="630"/>
      <c r="P7" s="631"/>
      <c r="Q7" s="630"/>
    </row>
    <row r="8" spans="1:17" ht="25.5" customHeight="1" x14ac:dyDescent="0.25">
      <c r="A8" s="10">
        <v>44475</v>
      </c>
      <c r="B8" s="94">
        <v>3030838</v>
      </c>
      <c r="C8" s="11" t="s">
        <v>50</v>
      </c>
      <c r="D8" s="66">
        <v>57480.09</v>
      </c>
      <c r="E8" s="11" t="s">
        <v>75</v>
      </c>
      <c r="F8" s="11" t="s">
        <v>74</v>
      </c>
      <c r="G8" s="11" t="s">
        <v>222</v>
      </c>
      <c r="H8" s="11" t="s">
        <v>97</v>
      </c>
      <c r="I8" s="11" t="s">
        <v>287</v>
      </c>
      <c r="J8" s="11" t="s">
        <v>288</v>
      </c>
      <c r="K8" s="11" t="s">
        <v>289</v>
      </c>
      <c r="L8" s="11">
        <v>275</v>
      </c>
      <c r="M8" s="11">
        <v>34620</v>
      </c>
      <c r="N8" s="60" t="s">
        <v>38</v>
      </c>
      <c r="O8" s="630"/>
      <c r="P8" s="631"/>
      <c r="Q8" s="630"/>
    </row>
    <row r="9" spans="1:17" ht="25.5" customHeight="1" x14ac:dyDescent="0.25">
      <c r="A9" s="10">
        <v>44477</v>
      </c>
      <c r="B9" s="94">
        <v>2816383</v>
      </c>
      <c r="C9" s="11" t="s">
        <v>9</v>
      </c>
      <c r="D9" s="66">
        <v>0</v>
      </c>
      <c r="E9" s="11"/>
      <c r="F9" s="11" t="s">
        <v>222</v>
      </c>
      <c r="G9" s="11" t="s">
        <v>74</v>
      </c>
      <c r="H9" s="11" t="s">
        <v>97</v>
      </c>
      <c r="I9" s="11" t="s">
        <v>287</v>
      </c>
      <c r="J9" s="11" t="s">
        <v>288</v>
      </c>
      <c r="K9" s="11" t="s">
        <v>289</v>
      </c>
      <c r="L9" s="11">
        <v>275</v>
      </c>
      <c r="M9" s="11">
        <v>0</v>
      </c>
      <c r="N9" s="60" t="s">
        <v>10</v>
      </c>
      <c r="O9" s="630"/>
      <c r="P9" s="631"/>
      <c r="Q9" s="630"/>
    </row>
    <row r="10" spans="1:17" ht="25.5" customHeight="1" x14ac:dyDescent="0.25">
      <c r="A10" s="10">
        <v>44477</v>
      </c>
      <c r="B10" s="94">
        <v>3031389</v>
      </c>
      <c r="C10" s="11" t="s">
        <v>50</v>
      </c>
      <c r="D10" s="66">
        <v>138345.34</v>
      </c>
      <c r="E10" s="11" t="s">
        <v>95</v>
      </c>
      <c r="F10" s="11" t="s">
        <v>74</v>
      </c>
      <c r="G10" s="11" t="s">
        <v>96</v>
      </c>
      <c r="H10" s="11" t="s">
        <v>97</v>
      </c>
      <c r="I10" s="11" t="s">
        <v>287</v>
      </c>
      <c r="J10" s="11" t="s">
        <v>288</v>
      </c>
      <c r="K10" s="11" t="s">
        <v>289</v>
      </c>
      <c r="L10" s="11">
        <v>805</v>
      </c>
      <c r="M10" s="11">
        <v>34000</v>
      </c>
      <c r="N10" s="60" t="s">
        <v>38</v>
      </c>
      <c r="O10" s="630"/>
      <c r="P10" s="631"/>
      <c r="Q10" s="630"/>
    </row>
    <row r="11" spans="1:17" ht="25.5" customHeight="1" x14ac:dyDescent="0.25">
      <c r="A11" s="10">
        <v>44481</v>
      </c>
      <c r="B11" s="94">
        <v>2816413</v>
      </c>
      <c r="C11" s="11" t="s">
        <v>9</v>
      </c>
      <c r="D11" s="66">
        <v>0</v>
      </c>
      <c r="E11" s="11"/>
      <c r="F11" s="11" t="s">
        <v>96</v>
      </c>
      <c r="G11" s="11" t="s">
        <v>46</v>
      </c>
      <c r="H11" s="11" t="s">
        <v>97</v>
      </c>
      <c r="I11" s="11" t="s">
        <v>287</v>
      </c>
      <c r="J11" s="11" t="s">
        <v>288</v>
      </c>
      <c r="K11" s="11" t="s">
        <v>289</v>
      </c>
      <c r="L11" s="11">
        <v>232</v>
      </c>
      <c r="M11" s="11">
        <v>0</v>
      </c>
      <c r="N11" s="60" t="s">
        <v>10</v>
      </c>
      <c r="O11" s="630"/>
      <c r="P11" s="631"/>
      <c r="Q11" s="630"/>
    </row>
    <row r="12" spans="1:17" ht="25.5" customHeight="1" x14ac:dyDescent="0.25">
      <c r="A12" s="16">
        <v>44482</v>
      </c>
      <c r="B12" s="95">
        <v>3032682</v>
      </c>
      <c r="C12" s="17" t="s">
        <v>50</v>
      </c>
      <c r="D12" s="70">
        <v>94502.34</v>
      </c>
      <c r="E12" s="17" t="s">
        <v>68</v>
      </c>
      <c r="F12" s="17" t="s">
        <v>46</v>
      </c>
      <c r="G12" s="17" t="s">
        <v>290</v>
      </c>
      <c r="H12" s="17" t="s">
        <v>97</v>
      </c>
      <c r="I12" s="17" t="s">
        <v>287</v>
      </c>
      <c r="J12" s="17" t="s">
        <v>288</v>
      </c>
      <c r="K12" s="17" t="s">
        <v>289</v>
      </c>
      <c r="L12" s="17">
        <v>540</v>
      </c>
      <c r="M12" s="17">
        <v>34460</v>
      </c>
      <c r="N12" s="61" t="s">
        <v>38</v>
      </c>
      <c r="O12" s="628">
        <v>29012.218379999998</v>
      </c>
      <c r="P12" s="629">
        <f>O12/D12*100</f>
        <v>30.7</v>
      </c>
      <c r="Q12" s="628">
        <f>D12/(L12+L13)</f>
        <v>87.502166666666668</v>
      </c>
    </row>
    <row r="13" spans="1:17" ht="25.5" customHeight="1" x14ac:dyDescent="0.25">
      <c r="A13" s="16">
        <v>44484</v>
      </c>
      <c r="B13" s="95">
        <v>2816526</v>
      </c>
      <c r="C13" s="17" t="s">
        <v>9</v>
      </c>
      <c r="D13" s="70">
        <v>0</v>
      </c>
      <c r="E13" s="17"/>
      <c r="F13" s="17" t="s">
        <v>290</v>
      </c>
      <c r="G13" s="17" t="s">
        <v>46</v>
      </c>
      <c r="H13" s="17" t="s">
        <v>97</v>
      </c>
      <c r="I13" s="17" t="s">
        <v>287</v>
      </c>
      <c r="J13" s="17" t="s">
        <v>288</v>
      </c>
      <c r="K13" s="17" t="s">
        <v>289</v>
      </c>
      <c r="L13" s="17">
        <v>540</v>
      </c>
      <c r="M13" s="17">
        <v>0</v>
      </c>
      <c r="N13" s="61" t="s">
        <v>10</v>
      </c>
      <c r="O13" s="628"/>
      <c r="P13" s="629"/>
      <c r="Q13" s="628"/>
    </row>
    <row r="14" spans="1:17" ht="25.5" customHeight="1" x14ac:dyDescent="0.25">
      <c r="A14" s="12">
        <v>44484</v>
      </c>
      <c r="B14" s="96">
        <v>2816527</v>
      </c>
      <c r="C14" s="13" t="s">
        <v>9</v>
      </c>
      <c r="D14" s="68">
        <v>0</v>
      </c>
      <c r="E14" s="13"/>
      <c r="F14" s="13" t="s">
        <v>46</v>
      </c>
      <c r="G14" s="13" t="s">
        <v>291</v>
      </c>
      <c r="H14" s="13" t="s">
        <v>97</v>
      </c>
      <c r="I14" s="13" t="s">
        <v>287</v>
      </c>
      <c r="J14" s="13" t="s">
        <v>288</v>
      </c>
      <c r="K14" s="13" t="s">
        <v>292</v>
      </c>
      <c r="L14" s="13">
        <v>85</v>
      </c>
      <c r="M14" s="13">
        <v>0</v>
      </c>
      <c r="N14" s="62" t="s">
        <v>10</v>
      </c>
      <c r="O14" s="634">
        <v>17947.768</v>
      </c>
      <c r="P14" s="639">
        <f>O14/(D15+D17)*100</f>
        <v>14.338352913544158</v>
      </c>
      <c r="Q14" s="634">
        <f>(D15+D17)/(L14+L15+L16+L17)</f>
        <v>65.025012987012985</v>
      </c>
    </row>
    <row r="15" spans="1:17" ht="25.5" customHeight="1" x14ac:dyDescent="0.25">
      <c r="A15" s="12">
        <v>44485</v>
      </c>
      <c r="B15" s="96">
        <v>402711</v>
      </c>
      <c r="C15" s="13" t="s">
        <v>293</v>
      </c>
      <c r="D15" s="68">
        <f>66465.45+12999.6</f>
        <v>79465.05</v>
      </c>
      <c r="E15" s="13" t="s">
        <v>294</v>
      </c>
      <c r="F15" s="13" t="s">
        <v>291</v>
      </c>
      <c r="G15" s="13" t="s">
        <v>295</v>
      </c>
      <c r="H15" s="13" t="s">
        <v>97</v>
      </c>
      <c r="I15" s="13" t="s">
        <v>287</v>
      </c>
      <c r="J15" s="13" t="s">
        <v>288</v>
      </c>
      <c r="K15" s="13" t="s">
        <v>292</v>
      </c>
      <c r="L15" s="13">
        <v>850</v>
      </c>
      <c r="M15" s="13">
        <v>37000</v>
      </c>
      <c r="N15" s="62" t="s">
        <v>296</v>
      </c>
      <c r="O15" s="634"/>
      <c r="P15" s="639"/>
      <c r="Q15" s="634"/>
    </row>
    <row r="16" spans="1:17" ht="25.5" customHeight="1" x14ac:dyDescent="0.25">
      <c r="A16" s="12">
        <v>44214</v>
      </c>
      <c r="B16" s="96"/>
      <c r="C16" s="13" t="s">
        <v>9</v>
      </c>
      <c r="D16" s="68">
        <v>0</v>
      </c>
      <c r="E16" s="13"/>
      <c r="F16" s="13" t="s">
        <v>295</v>
      </c>
      <c r="G16" s="13" t="s">
        <v>209</v>
      </c>
      <c r="H16" s="13" t="s">
        <v>97</v>
      </c>
      <c r="I16" s="13" t="s">
        <v>287</v>
      </c>
      <c r="J16" s="13" t="s">
        <v>288</v>
      </c>
      <c r="K16" s="13" t="s">
        <v>292</v>
      </c>
      <c r="L16" s="13">
        <v>170</v>
      </c>
      <c r="M16" s="13">
        <v>0</v>
      </c>
      <c r="N16" s="62" t="s">
        <v>10</v>
      </c>
      <c r="O16" s="634"/>
      <c r="P16" s="639"/>
      <c r="Q16" s="634"/>
    </row>
    <row r="17" spans="1:17" ht="25.5" customHeight="1" x14ac:dyDescent="0.25">
      <c r="A17" s="12">
        <v>44488</v>
      </c>
      <c r="B17" s="96">
        <v>20142647</v>
      </c>
      <c r="C17" s="13" t="s">
        <v>169</v>
      </c>
      <c r="D17" s="68">
        <v>45708.1</v>
      </c>
      <c r="E17" s="13" t="s">
        <v>297</v>
      </c>
      <c r="F17" s="13" t="s">
        <v>209</v>
      </c>
      <c r="G17" s="13" t="s">
        <v>46</v>
      </c>
      <c r="H17" s="13" t="s">
        <v>97</v>
      </c>
      <c r="I17" s="13" t="s">
        <v>287</v>
      </c>
      <c r="J17" s="13" t="s">
        <v>288</v>
      </c>
      <c r="K17" s="13" t="s">
        <v>292</v>
      </c>
      <c r="L17" s="13">
        <v>820</v>
      </c>
      <c r="M17" s="13">
        <v>33660</v>
      </c>
      <c r="N17" s="62" t="s">
        <v>298</v>
      </c>
      <c r="O17" s="634"/>
      <c r="P17" s="639"/>
      <c r="Q17" s="634"/>
    </row>
    <row r="18" spans="1:17" ht="25.5" customHeight="1" x14ac:dyDescent="0.25">
      <c r="A18" s="14">
        <v>44490</v>
      </c>
      <c r="B18" s="97">
        <v>3037596</v>
      </c>
      <c r="C18" s="15" t="s">
        <v>50</v>
      </c>
      <c r="D18" s="67">
        <v>74006.460000000006</v>
      </c>
      <c r="E18" s="15" t="s">
        <v>68</v>
      </c>
      <c r="F18" s="15" t="s">
        <v>46</v>
      </c>
      <c r="G18" s="15" t="s">
        <v>52</v>
      </c>
      <c r="H18" s="15" t="s">
        <v>97</v>
      </c>
      <c r="I18" s="15" t="s">
        <v>287</v>
      </c>
      <c r="J18" s="15" t="s">
        <v>288</v>
      </c>
      <c r="K18" s="15" t="s">
        <v>49</v>
      </c>
      <c r="L18" s="15">
        <v>450</v>
      </c>
      <c r="M18" s="15">
        <v>27300</v>
      </c>
      <c r="N18" s="63" t="s">
        <v>38</v>
      </c>
      <c r="O18" s="632">
        <v>55339.593000000001</v>
      </c>
      <c r="P18" s="633">
        <f>O18/(D18+D20)*100</f>
        <v>30.700000099856172</v>
      </c>
      <c r="Q18" s="632">
        <f>(D18+D20)/(L18+L19+L20)</f>
        <v>86.663105769230768</v>
      </c>
    </row>
    <row r="19" spans="1:17" ht="25.5" customHeight="1" x14ac:dyDescent="0.25">
      <c r="A19" s="14">
        <v>44491</v>
      </c>
      <c r="B19" s="97">
        <v>2816638</v>
      </c>
      <c r="C19" s="15" t="s">
        <v>9</v>
      </c>
      <c r="D19" s="67">
        <v>0</v>
      </c>
      <c r="E19" s="15"/>
      <c r="F19" s="15" t="s">
        <v>52</v>
      </c>
      <c r="G19" s="15" t="s">
        <v>74</v>
      </c>
      <c r="H19" s="15" t="s">
        <v>97</v>
      </c>
      <c r="I19" s="15" t="s">
        <v>287</v>
      </c>
      <c r="J19" s="15" t="s">
        <v>288</v>
      </c>
      <c r="K19" s="15" t="s">
        <v>49</v>
      </c>
      <c r="L19" s="15">
        <v>930</v>
      </c>
      <c r="M19" s="15">
        <v>0</v>
      </c>
      <c r="N19" s="63" t="s">
        <v>10</v>
      </c>
      <c r="O19" s="632"/>
      <c r="P19" s="633"/>
      <c r="Q19" s="632"/>
    </row>
    <row r="20" spans="1:17" ht="25.5" customHeight="1" x14ac:dyDescent="0.25">
      <c r="A20" s="14">
        <v>44492</v>
      </c>
      <c r="B20" s="97">
        <v>3038755</v>
      </c>
      <c r="C20" s="15" t="s">
        <v>50</v>
      </c>
      <c r="D20" s="67">
        <v>106252.8</v>
      </c>
      <c r="E20" s="15" t="s">
        <v>95</v>
      </c>
      <c r="F20" s="15" t="s">
        <v>74</v>
      </c>
      <c r="G20" s="15" t="s">
        <v>46</v>
      </c>
      <c r="H20" s="15" t="s">
        <v>97</v>
      </c>
      <c r="I20" s="15" t="s">
        <v>287</v>
      </c>
      <c r="J20" s="15" t="s">
        <v>288</v>
      </c>
      <c r="K20" s="15" t="s">
        <v>49</v>
      </c>
      <c r="L20" s="15">
        <v>700</v>
      </c>
      <c r="M20" s="15">
        <v>27120</v>
      </c>
      <c r="N20" s="63" t="s">
        <v>38</v>
      </c>
      <c r="O20" s="632"/>
      <c r="P20" s="633"/>
      <c r="Q20" s="632"/>
    </row>
    <row r="21" spans="1:17" ht="25.5" customHeight="1" x14ac:dyDescent="0.25">
      <c r="A21" s="10">
        <v>44494</v>
      </c>
      <c r="B21" s="94">
        <v>3039549</v>
      </c>
      <c r="C21" s="11" t="s">
        <v>50</v>
      </c>
      <c r="D21" s="66">
        <v>23559.93</v>
      </c>
      <c r="E21" s="11" t="s">
        <v>68</v>
      </c>
      <c r="F21" s="11" t="s">
        <v>46</v>
      </c>
      <c r="G21" s="11" t="s">
        <v>81</v>
      </c>
      <c r="H21" s="11" t="s">
        <v>97</v>
      </c>
      <c r="I21" s="11" t="s">
        <v>287</v>
      </c>
      <c r="J21" s="11" t="s">
        <v>288</v>
      </c>
      <c r="K21" s="11" t="s">
        <v>246</v>
      </c>
      <c r="L21" s="11">
        <v>120</v>
      </c>
      <c r="M21" s="11">
        <v>34080</v>
      </c>
      <c r="N21" s="60" t="s">
        <v>38</v>
      </c>
      <c r="O21" s="630">
        <v>64318.213000000003</v>
      </c>
      <c r="P21" s="631">
        <f>O21/(D21+D23+D25)*100</f>
        <v>30.699999971361141</v>
      </c>
      <c r="Q21" s="630">
        <f>(D21+D23+D25)/(L21+L22+L23+L24+L25)</f>
        <v>108.55211398963732</v>
      </c>
    </row>
    <row r="22" spans="1:17" ht="25.5" customHeight="1" x14ac:dyDescent="0.25">
      <c r="A22" s="10">
        <v>44495</v>
      </c>
      <c r="B22" s="94">
        <v>2816637</v>
      </c>
      <c r="C22" s="11" t="s">
        <v>9</v>
      </c>
      <c r="D22" s="66">
        <v>0</v>
      </c>
      <c r="E22" s="11"/>
      <c r="F22" s="11" t="s">
        <v>81</v>
      </c>
      <c r="G22" s="11" t="s">
        <v>74</v>
      </c>
      <c r="H22" s="11" t="s">
        <v>97</v>
      </c>
      <c r="I22" s="11" t="s">
        <v>287</v>
      </c>
      <c r="J22" s="11" t="s">
        <v>288</v>
      </c>
      <c r="K22" s="11" t="s">
        <v>246</v>
      </c>
      <c r="L22" s="11">
        <v>560</v>
      </c>
      <c r="M22" s="11">
        <v>0</v>
      </c>
      <c r="N22" s="60" t="s">
        <v>10</v>
      </c>
      <c r="O22" s="630"/>
      <c r="P22" s="631"/>
      <c r="Q22" s="630"/>
    </row>
    <row r="23" spans="1:17" ht="25.5" customHeight="1" x14ac:dyDescent="0.25">
      <c r="A23" s="10">
        <v>44496</v>
      </c>
      <c r="B23" s="94">
        <v>3040072</v>
      </c>
      <c r="C23" s="11" t="s">
        <v>50</v>
      </c>
      <c r="D23" s="66">
        <v>57313.86</v>
      </c>
      <c r="E23" s="11" t="s">
        <v>95</v>
      </c>
      <c r="F23" s="11" t="s">
        <v>74</v>
      </c>
      <c r="G23" s="11" t="s">
        <v>222</v>
      </c>
      <c r="H23" s="11" t="s">
        <v>97</v>
      </c>
      <c r="I23" s="11" t="s">
        <v>287</v>
      </c>
      <c r="J23" s="11" t="s">
        <v>288</v>
      </c>
      <c r="K23" s="11" t="s">
        <v>246</v>
      </c>
      <c r="L23" s="11">
        <v>275</v>
      </c>
      <c r="M23" s="11">
        <v>34550</v>
      </c>
      <c r="N23" s="60" t="s">
        <v>38</v>
      </c>
      <c r="O23" s="630"/>
      <c r="P23" s="631"/>
      <c r="Q23" s="630"/>
    </row>
    <row r="24" spans="1:17" ht="25.5" customHeight="1" x14ac:dyDescent="0.25">
      <c r="A24" s="10">
        <v>44497</v>
      </c>
      <c r="B24" s="94">
        <v>2816636</v>
      </c>
      <c r="C24" s="11" t="s">
        <v>9</v>
      </c>
      <c r="D24" s="66">
        <v>0</v>
      </c>
      <c r="E24" s="11"/>
      <c r="F24" s="11" t="s">
        <v>222</v>
      </c>
      <c r="G24" s="11" t="s">
        <v>74</v>
      </c>
      <c r="H24" s="11" t="s">
        <v>97</v>
      </c>
      <c r="I24" s="11" t="s">
        <v>287</v>
      </c>
      <c r="J24" s="11" t="s">
        <v>288</v>
      </c>
      <c r="K24" s="11" t="s">
        <v>246</v>
      </c>
      <c r="L24" s="11">
        <v>275</v>
      </c>
      <c r="M24" s="11">
        <v>0</v>
      </c>
      <c r="N24" s="60" t="s">
        <v>10</v>
      </c>
      <c r="O24" s="630"/>
      <c r="P24" s="631"/>
      <c r="Q24" s="630"/>
    </row>
    <row r="25" spans="1:17" ht="25.5" customHeight="1" x14ac:dyDescent="0.25">
      <c r="A25" s="54">
        <v>44498</v>
      </c>
      <c r="B25" s="98">
        <v>3041286</v>
      </c>
      <c r="C25" s="55" t="s">
        <v>50</v>
      </c>
      <c r="D25" s="72">
        <v>128631.79</v>
      </c>
      <c r="E25" s="55" t="s">
        <v>95</v>
      </c>
      <c r="F25" s="55" t="s">
        <v>74</v>
      </c>
      <c r="G25" s="55" t="s">
        <v>46</v>
      </c>
      <c r="H25" s="55" t="s">
        <v>97</v>
      </c>
      <c r="I25" s="55" t="s">
        <v>287</v>
      </c>
      <c r="J25" s="55" t="s">
        <v>288</v>
      </c>
      <c r="K25" s="55" t="s">
        <v>246</v>
      </c>
      <c r="L25" s="55">
        <v>700</v>
      </c>
      <c r="M25" s="55">
        <v>34590</v>
      </c>
      <c r="N25" s="60" t="s">
        <v>38</v>
      </c>
      <c r="O25" s="630"/>
      <c r="P25" s="631"/>
      <c r="Q25" s="630"/>
    </row>
    <row r="26" spans="1:17" x14ac:dyDescent="0.25">
      <c r="A26" s="9"/>
      <c r="B26" s="89"/>
      <c r="C26" s="9"/>
      <c r="D26" s="18">
        <f>SUM(D4:D25)</f>
        <v>968561.01000000013</v>
      </c>
      <c r="E26" s="9"/>
      <c r="F26" s="9"/>
      <c r="G26" s="9"/>
      <c r="H26" s="9"/>
      <c r="I26" s="9"/>
      <c r="J26" s="9"/>
      <c r="K26" s="9"/>
      <c r="L26" s="9">
        <f>SUM(L4:L25)</f>
        <v>10892</v>
      </c>
      <c r="M26" s="9"/>
      <c r="N26" s="9"/>
      <c r="O26" s="24">
        <f>SUM(O4:O25)</f>
        <v>276867.84237999999</v>
      </c>
      <c r="P26" s="28"/>
      <c r="Q26" s="26">
        <f>D26/L26</f>
        <v>88.924073632023521</v>
      </c>
    </row>
    <row r="28" spans="1:17" ht="15" customHeight="1" x14ac:dyDescent="0.25">
      <c r="A28" s="36" t="s">
        <v>322</v>
      </c>
      <c r="B28" s="36" t="s">
        <v>323</v>
      </c>
      <c r="C28" s="36" t="s">
        <v>324</v>
      </c>
      <c r="D28" s="36" t="s">
        <v>325</v>
      </c>
      <c r="F28" s="37" t="s">
        <v>326</v>
      </c>
      <c r="G28" s="37" t="s">
        <v>327</v>
      </c>
      <c r="H28" s="37" t="s">
        <v>328</v>
      </c>
      <c r="I28" s="38"/>
    </row>
    <row r="29" spans="1:17" x14ac:dyDescent="0.25">
      <c r="A29" s="39">
        <f>D26/L26</f>
        <v>88.924073632023521</v>
      </c>
      <c r="B29" s="40">
        <f>COMBUSTIBLE!C181</f>
        <v>4615.1099999999997</v>
      </c>
      <c r="C29" s="41">
        <f>B29/L26*100</f>
        <v>42.37155710613294</v>
      </c>
      <c r="D29" s="42">
        <f>B35/B29</f>
        <v>69.007912726779679</v>
      </c>
      <c r="F29" s="43">
        <f>+B35/D26</f>
        <v>0.32881677541870918</v>
      </c>
      <c r="G29" s="43">
        <f>B40/D26</f>
        <v>0.30817930199018473</v>
      </c>
      <c r="H29" s="44"/>
      <c r="I29" s="38"/>
    </row>
    <row r="30" spans="1:17" x14ac:dyDescent="0.25">
      <c r="B30" s="2"/>
      <c r="C30" s="2" t="s">
        <v>1229</v>
      </c>
      <c r="F30" s="38"/>
      <c r="G30" s="38"/>
      <c r="H30" s="38"/>
      <c r="I30" s="38"/>
    </row>
    <row r="31" spans="1:17" x14ac:dyDescent="0.25">
      <c r="A31" s="36"/>
      <c r="B31" s="36" t="s">
        <v>329</v>
      </c>
      <c r="C31" s="36" t="s">
        <v>330</v>
      </c>
      <c r="D31" s="36" t="s">
        <v>246</v>
      </c>
      <c r="K31" s="25"/>
      <c r="L31" s="29"/>
      <c r="M31" s="25"/>
      <c r="O31" s="2"/>
      <c r="P31" s="2"/>
      <c r="Q31" s="2"/>
    </row>
    <row r="32" spans="1:17" x14ac:dyDescent="0.25">
      <c r="A32" s="7" t="s">
        <v>331</v>
      </c>
      <c r="B32" s="24">
        <f>D26</f>
        <v>968561.01000000013</v>
      </c>
      <c r="C32" s="45">
        <f>B33</f>
        <v>276867.84237999999</v>
      </c>
      <c r="D32" s="46">
        <f>C32/B32</f>
        <v>0.28585482950630026</v>
      </c>
      <c r="K32" s="25"/>
      <c r="L32" s="29"/>
      <c r="M32" s="25"/>
      <c r="O32" s="2"/>
      <c r="P32" s="2"/>
      <c r="Q32" s="2"/>
    </row>
    <row r="33" spans="1:4" x14ac:dyDescent="0.25">
      <c r="A33" s="47" t="s">
        <v>27</v>
      </c>
      <c r="B33" s="24">
        <f>O26</f>
        <v>276867.84237999999</v>
      </c>
      <c r="C33" s="9"/>
    </row>
    <row r="34" spans="1:4" x14ac:dyDescent="0.25">
      <c r="A34" s="48" t="s">
        <v>332</v>
      </c>
      <c r="B34" s="49">
        <f>(10*(78578.313+12454.55))/(150000+80000)*L26</f>
        <v>43109.997556347829</v>
      </c>
      <c r="C34" s="49">
        <f>(12*(78578.313+12454.55))/(150000+80000)*L26</f>
        <v>51731.997067617391</v>
      </c>
    </row>
    <row r="35" spans="1:4" x14ac:dyDescent="0.25">
      <c r="A35" s="48" t="s">
        <v>333</v>
      </c>
      <c r="B35" s="24">
        <f>COMBUSTIBLE!J181</f>
        <v>318479.10810448817</v>
      </c>
      <c r="C35" s="9"/>
    </row>
    <row r="36" spans="1:4" x14ac:dyDescent="0.25">
      <c r="A36" s="48" t="s">
        <v>334</v>
      </c>
      <c r="B36" s="24"/>
      <c r="C36" s="9"/>
    </row>
    <row r="37" spans="1:4" x14ac:dyDescent="0.25">
      <c r="A37" s="48" t="s">
        <v>335</v>
      </c>
      <c r="B37" s="24">
        <f>'PATENTE PROVINCIAL'!N65</f>
        <v>1898.5</v>
      </c>
      <c r="C37" s="42"/>
    </row>
    <row r="38" spans="1:4" x14ac:dyDescent="0.25">
      <c r="A38" s="48" t="s">
        <v>336</v>
      </c>
      <c r="B38" s="24">
        <f>'PATENTE MUNICIPAL'!I72</f>
        <v>2656.2400000000002</v>
      </c>
      <c r="C38" s="42">
        <f>'PATENTE MUNICIPAL'!I13</f>
        <v>607.25666666666666</v>
      </c>
    </row>
    <row r="39" spans="1:4" x14ac:dyDescent="0.25">
      <c r="A39" s="48" t="s">
        <v>337</v>
      </c>
      <c r="B39" s="24">
        <f>SEGURO!K76</f>
        <v>1236.5432093611639</v>
      </c>
      <c r="C39" s="42">
        <f>SEGURO!K13</f>
        <v>248.33218785578745</v>
      </c>
    </row>
    <row r="40" spans="1:4" x14ac:dyDescent="0.25">
      <c r="A40" s="48" t="s">
        <v>338</v>
      </c>
      <c r="B40" s="24">
        <f>L26*SUELDOS!Z15</f>
        <v>298490.45599670836</v>
      </c>
      <c r="C40" s="42"/>
      <c r="D40" s="50">
        <f>B40/L26</f>
        <v>27.404558942040797</v>
      </c>
    </row>
    <row r="41" spans="1:4" x14ac:dyDescent="0.25">
      <c r="A41" s="48" t="s">
        <v>339</v>
      </c>
      <c r="B41" s="24">
        <f>'GASTOS TRACTOR'!H398</f>
        <v>45831.405180000002</v>
      </c>
      <c r="C41" s="42">
        <f>'GASTOS SEMI'!H13</f>
        <v>1816.42</v>
      </c>
    </row>
    <row r="42" spans="1:4" x14ac:dyDescent="0.25">
      <c r="A42" s="48" t="s">
        <v>340</v>
      </c>
      <c r="B42" s="24">
        <f>SUM(B34:B41)</f>
        <v>711702.25004690548</v>
      </c>
      <c r="C42" s="51">
        <f>SUM(C34:C41)</f>
        <v>54404.005922139848</v>
      </c>
    </row>
    <row r="43" spans="1:4" x14ac:dyDescent="0.25">
      <c r="A43" s="36" t="s">
        <v>341</v>
      </c>
      <c r="B43" s="52">
        <f>B32-B33-B42</f>
        <v>-20009.082426905283</v>
      </c>
      <c r="C43" s="53">
        <f>C32-C33-C42</f>
        <v>222463.83645786013</v>
      </c>
      <c r="D43" s="52">
        <f>+B43+C43</f>
        <v>202454.75403095485</v>
      </c>
    </row>
  </sheetData>
  <sortState xmlns:xlrd2="http://schemas.microsoft.com/office/spreadsheetml/2017/richdata2" ref="A2:P23">
    <sortCondition ref="A1"/>
  </sortState>
  <mergeCells count="16">
    <mergeCell ref="Q21:Q25"/>
    <mergeCell ref="P21:P25"/>
    <mergeCell ref="O21:O25"/>
    <mergeCell ref="Q18:Q20"/>
    <mergeCell ref="P18:P20"/>
    <mergeCell ref="O18:O20"/>
    <mergeCell ref="Q4:Q11"/>
    <mergeCell ref="P4:P11"/>
    <mergeCell ref="O4:O11"/>
    <mergeCell ref="A1:Q2"/>
    <mergeCell ref="Q14:Q17"/>
    <mergeCell ref="P14:P17"/>
    <mergeCell ref="O14:O17"/>
    <mergeCell ref="Q12:Q13"/>
    <mergeCell ref="P12:P13"/>
    <mergeCell ref="O12:O13"/>
  </mergeCells>
  <conditionalFormatting sqref="C29">
    <cfRule type="cellIs" dxfId="25" priority="1" operator="lessThan">
      <formula>29</formula>
    </cfRule>
    <cfRule type="cellIs" dxfId="24" priority="2" operator="greaterThan">
      <formula>38</formula>
    </cfRule>
    <cfRule type="cellIs" dxfId="23" priority="3" operator="lessThan">
      <formula>38</formula>
    </cfRule>
    <cfRule type="cellIs" dxfId="22" priority="4" operator="lessThan">
      <formula>38</formula>
    </cfRule>
    <cfRule type="cellIs" dxfId="21" priority="5" operator="greaterThan">
      <formula>40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Q43"/>
  <sheetViews>
    <sheetView topLeftCell="A26" zoomScaleNormal="100" workbookViewId="0">
      <selection activeCell="D46" sqref="D46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47.42578125" style="2" bestFit="1" customWidth="1"/>
    <col min="8" max="8" width="20.140625" style="2" bestFit="1" customWidth="1"/>
    <col min="9" max="9" width="22.710937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7" t="s">
        <v>358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2816372</v>
      </c>
      <c r="C4" s="4" t="s">
        <v>9</v>
      </c>
      <c r="D4" s="5">
        <v>0</v>
      </c>
      <c r="E4" s="4"/>
      <c r="F4" s="4" t="s">
        <v>177</v>
      </c>
      <c r="G4" s="4" t="s">
        <v>46</v>
      </c>
      <c r="H4" s="4" t="s">
        <v>97</v>
      </c>
      <c r="I4" s="4" t="s">
        <v>301</v>
      </c>
      <c r="J4" s="4" t="s">
        <v>302</v>
      </c>
      <c r="K4" s="4" t="s">
        <v>247</v>
      </c>
      <c r="L4" s="4">
        <v>550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17" ht="25.5" customHeight="1" x14ac:dyDescent="0.25">
      <c r="A5" s="10">
        <v>44473</v>
      </c>
      <c r="B5" s="11">
        <v>3029294</v>
      </c>
      <c r="C5" s="11" t="s">
        <v>50</v>
      </c>
      <c r="D5" s="66">
        <v>109433.73</v>
      </c>
      <c r="E5" s="11" t="s">
        <v>51</v>
      </c>
      <c r="F5" s="11" t="s">
        <v>46</v>
      </c>
      <c r="G5" s="11" t="s">
        <v>126</v>
      </c>
      <c r="H5" s="11" t="s">
        <v>97</v>
      </c>
      <c r="I5" s="11" t="s">
        <v>301</v>
      </c>
      <c r="J5" s="11" t="s">
        <v>302</v>
      </c>
      <c r="K5" s="11" t="s">
        <v>249</v>
      </c>
      <c r="L5" s="11">
        <v>671</v>
      </c>
      <c r="M5" s="11">
        <v>28820</v>
      </c>
      <c r="N5" s="11" t="s">
        <v>38</v>
      </c>
      <c r="O5" s="637">
        <v>33596.15511</v>
      </c>
      <c r="P5" s="631">
        <f>O5/D5*100</f>
        <v>30.7</v>
      </c>
      <c r="Q5" s="630">
        <f>D5/(L5+L6)</f>
        <v>81.545253353204174</v>
      </c>
    </row>
    <row r="6" spans="1:17" ht="25.5" customHeight="1" x14ac:dyDescent="0.25">
      <c r="A6" s="10">
        <v>44475</v>
      </c>
      <c r="B6" s="11">
        <v>2816373</v>
      </c>
      <c r="C6" s="11" t="s">
        <v>9</v>
      </c>
      <c r="D6" s="66">
        <v>0</v>
      </c>
      <c r="E6" s="11"/>
      <c r="F6" s="11" t="s">
        <v>126</v>
      </c>
      <c r="G6" s="11" t="s">
        <v>46</v>
      </c>
      <c r="H6" s="11" t="s">
        <v>97</v>
      </c>
      <c r="I6" s="11" t="s">
        <v>301</v>
      </c>
      <c r="J6" s="11" t="s">
        <v>302</v>
      </c>
      <c r="K6" s="11" t="s">
        <v>249</v>
      </c>
      <c r="L6" s="11">
        <v>671</v>
      </c>
      <c r="M6" s="11">
        <v>0</v>
      </c>
      <c r="N6" s="11" t="s">
        <v>10</v>
      </c>
      <c r="O6" s="638"/>
      <c r="P6" s="631"/>
      <c r="Q6" s="630"/>
    </row>
    <row r="7" spans="1:17" ht="25.5" customHeight="1" x14ac:dyDescent="0.25">
      <c r="A7" s="16">
        <v>44476</v>
      </c>
      <c r="B7" s="17">
        <v>3030516</v>
      </c>
      <c r="C7" s="17" t="s">
        <v>50</v>
      </c>
      <c r="D7" s="70">
        <v>110193.16</v>
      </c>
      <c r="E7" s="17" t="s">
        <v>51</v>
      </c>
      <c r="F7" s="17" t="s">
        <v>46</v>
      </c>
      <c r="G7" s="17" t="s">
        <v>126</v>
      </c>
      <c r="H7" s="17" t="s">
        <v>97</v>
      </c>
      <c r="I7" s="17" t="s">
        <v>301</v>
      </c>
      <c r="J7" s="17" t="s">
        <v>302</v>
      </c>
      <c r="K7" s="17" t="s">
        <v>249</v>
      </c>
      <c r="L7" s="17">
        <v>671</v>
      </c>
      <c r="M7" s="17">
        <v>29020</v>
      </c>
      <c r="N7" s="17" t="s">
        <v>38</v>
      </c>
      <c r="O7" s="644">
        <v>33829.30012</v>
      </c>
      <c r="P7" s="629">
        <f>O7/D7*100</f>
        <v>30.7</v>
      </c>
      <c r="Q7" s="628">
        <f>D7/(L7+L8)</f>
        <v>82.111147540983609</v>
      </c>
    </row>
    <row r="8" spans="1:17" ht="25.5" customHeight="1" x14ac:dyDescent="0.25">
      <c r="A8" s="16">
        <v>44478</v>
      </c>
      <c r="B8" s="17">
        <v>2816395</v>
      </c>
      <c r="C8" s="17" t="s">
        <v>9</v>
      </c>
      <c r="D8" s="70">
        <v>0</v>
      </c>
      <c r="E8" s="17"/>
      <c r="F8" s="17" t="s">
        <v>126</v>
      </c>
      <c r="G8" s="17" t="s">
        <v>46</v>
      </c>
      <c r="H8" s="17" t="s">
        <v>97</v>
      </c>
      <c r="I8" s="17" t="s">
        <v>301</v>
      </c>
      <c r="J8" s="17" t="s">
        <v>302</v>
      </c>
      <c r="K8" s="17" t="s">
        <v>249</v>
      </c>
      <c r="L8" s="17">
        <v>671</v>
      </c>
      <c r="M8" s="17">
        <v>0</v>
      </c>
      <c r="N8" s="17" t="s">
        <v>10</v>
      </c>
      <c r="O8" s="645"/>
      <c r="P8" s="629"/>
      <c r="Q8" s="628"/>
    </row>
    <row r="9" spans="1:17" ht="25.5" customHeight="1" x14ac:dyDescent="0.25">
      <c r="A9" s="12">
        <v>44480</v>
      </c>
      <c r="B9" s="13">
        <v>3031556</v>
      </c>
      <c r="C9" s="13" t="s">
        <v>50</v>
      </c>
      <c r="D9" s="68">
        <v>103666.68</v>
      </c>
      <c r="E9" s="13" t="s">
        <v>51</v>
      </c>
      <c r="F9" s="13" t="s">
        <v>46</v>
      </c>
      <c r="G9" s="13" t="s">
        <v>94</v>
      </c>
      <c r="H9" s="13" t="s">
        <v>97</v>
      </c>
      <c r="I9" s="13" t="s">
        <v>301</v>
      </c>
      <c r="J9" s="13" t="s">
        <v>302</v>
      </c>
      <c r="K9" s="13" t="s">
        <v>249</v>
      </c>
      <c r="L9" s="13">
        <v>690</v>
      </c>
      <c r="M9" s="13">
        <v>29020</v>
      </c>
      <c r="N9" s="13" t="s">
        <v>38</v>
      </c>
      <c r="O9" s="640">
        <v>31825.670760000001</v>
      </c>
      <c r="P9" s="635">
        <f>O9/D9*100</f>
        <v>30.700000000000006</v>
      </c>
      <c r="Q9" s="634">
        <f>D9/(L9+L10)</f>
        <v>75.120782608695649</v>
      </c>
    </row>
    <row r="10" spans="1:17" ht="25.5" customHeight="1" x14ac:dyDescent="0.25">
      <c r="A10" s="12">
        <v>44481</v>
      </c>
      <c r="B10" s="13">
        <v>2816521</v>
      </c>
      <c r="C10" s="13" t="s">
        <v>9</v>
      </c>
      <c r="D10" s="68">
        <v>0</v>
      </c>
      <c r="E10" s="13"/>
      <c r="F10" s="13" t="s">
        <v>94</v>
      </c>
      <c r="G10" s="13" t="s">
        <v>46</v>
      </c>
      <c r="H10" s="13" t="s">
        <v>97</v>
      </c>
      <c r="I10" s="13" t="s">
        <v>301</v>
      </c>
      <c r="J10" s="13" t="s">
        <v>302</v>
      </c>
      <c r="K10" s="13" t="s">
        <v>249</v>
      </c>
      <c r="L10" s="13">
        <v>690</v>
      </c>
      <c r="M10" s="13">
        <v>0</v>
      </c>
      <c r="N10" s="13" t="s">
        <v>10</v>
      </c>
      <c r="O10" s="642"/>
      <c r="P10" s="635"/>
      <c r="Q10" s="634"/>
    </row>
    <row r="11" spans="1:17" ht="25.5" customHeight="1" x14ac:dyDescent="0.25">
      <c r="A11" s="14">
        <v>44482</v>
      </c>
      <c r="B11" s="15">
        <v>3032321</v>
      </c>
      <c r="C11" s="15" t="s">
        <v>50</v>
      </c>
      <c r="D11" s="67">
        <v>76496.81</v>
      </c>
      <c r="E11" s="15" t="s">
        <v>68</v>
      </c>
      <c r="F11" s="15" t="s">
        <v>46</v>
      </c>
      <c r="G11" s="15" t="s">
        <v>52</v>
      </c>
      <c r="H11" s="15" t="s">
        <v>97</v>
      </c>
      <c r="I11" s="15" t="s">
        <v>301</v>
      </c>
      <c r="J11" s="15" t="s">
        <v>302</v>
      </c>
      <c r="K11" s="15" t="s">
        <v>249</v>
      </c>
      <c r="L11" s="15">
        <v>450</v>
      </c>
      <c r="M11" s="15">
        <v>28320</v>
      </c>
      <c r="N11" s="15" t="s">
        <v>38</v>
      </c>
      <c r="O11" s="647">
        <v>91401.43</v>
      </c>
      <c r="P11" s="633">
        <f>O11/(D11+D13+D15+D17)*100</f>
        <v>30.699999761524516</v>
      </c>
      <c r="Q11" s="632">
        <f>(D11+D13+D15+D17)/(L11+L12+L13+L14+L15+L16+L17)</f>
        <v>92.174777089783291</v>
      </c>
    </row>
    <row r="12" spans="1:17" ht="25.5" customHeight="1" x14ac:dyDescent="0.25">
      <c r="A12" s="14">
        <v>44483</v>
      </c>
      <c r="B12" s="15">
        <v>2816520</v>
      </c>
      <c r="C12" s="15" t="s">
        <v>9</v>
      </c>
      <c r="D12" s="67">
        <v>0</v>
      </c>
      <c r="E12" s="15"/>
      <c r="F12" s="15" t="s">
        <v>52</v>
      </c>
      <c r="G12" s="15" t="s">
        <v>74</v>
      </c>
      <c r="H12" s="15" t="s">
        <v>97</v>
      </c>
      <c r="I12" s="15" t="s">
        <v>301</v>
      </c>
      <c r="J12" s="15" t="s">
        <v>302</v>
      </c>
      <c r="K12" s="15" t="s">
        <v>249</v>
      </c>
      <c r="L12" s="15">
        <v>930</v>
      </c>
      <c r="M12" s="15">
        <v>0</v>
      </c>
      <c r="N12" s="15" t="s">
        <v>10</v>
      </c>
      <c r="O12" s="657"/>
      <c r="P12" s="633"/>
      <c r="Q12" s="632"/>
    </row>
    <row r="13" spans="1:17" ht="25.5" customHeight="1" x14ac:dyDescent="0.25">
      <c r="A13" s="14">
        <v>44484</v>
      </c>
      <c r="B13" s="15">
        <v>3033972</v>
      </c>
      <c r="C13" s="15" t="s">
        <v>50</v>
      </c>
      <c r="D13" s="67">
        <v>59586.13</v>
      </c>
      <c r="E13" s="15" t="s">
        <v>95</v>
      </c>
      <c r="F13" s="15" t="s">
        <v>74</v>
      </c>
      <c r="G13" s="15" t="s">
        <v>250</v>
      </c>
      <c r="H13" s="15" t="s">
        <v>97</v>
      </c>
      <c r="I13" s="15" t="s">
        <v>301</v>
      </c>
      <c r="J13" s="15" t="s">
        <v>302</v>
      </c>
      <c r="K13" s="15" t="s">
        <v>249</v>
      </c>
      <c r="L13" s="15">
        <v>300</v>
      </c>
      <c r="M13" s="15">
        <v>28460</v>
      </c>
      <c r="N13" s="15" t="s">
        <v>38</v>
      </c>
      <c r="O13" s="657"/>
      <c r="P13" s="633"/>
      <c r="Q13" s="632"/>
    </row>
    <row r="14" spans="1:17" ht="25.5" customHeight="1" x14ac:dyDescent="0.25">
      <c r="A14" s="14">
        <v>44485</v>
      </c>
      <c r="B14" s="15">
        <v>2816519</v>
      </c>
      <c r="C14" s="15" t="s">
        <v>9</v>
      </c>
      <c r="D14" s="67">
        <v>0</v>
      </c>
      <c r="E14" s="15"/>
      <c r="F14" s="15" t="s">
        <v>250</v>
      </c>
      <c r="G14" s="15" t="s">
        <v>74</v>
      </c>
      <c r="H14" s="15" t="s">
        <v>97</v>
      </c>
      <c r="I14" s="15" t="s">
        <v>301</v>
      </c>
      <c r="J14" s="15" t="s">
        <v>302</v>
      </c>
      <c r="K14" s="15" t="s">
        <v>249</v>
      </c>
      <c r="L14" s="15">
        <v>300</v>
      </c>
      <c r="M14" s="15">
        <v>0</v>
      </c>
      <c r="N14" s="15" t="s">
        <v>10</v>
      </c>
      <c r="O14" s="657"/>
      <c r="P14" s="633"/>
      <c r="Q14" s="632"/>
    </row>
    <row r="15" spans="1:17" ht="25.5" customHeight="1" x14ac:dyDescent="0.25">
      <c r="A15" s="14">
        <v>44486</v>
      </c>
      <c r="B15" s="15">
        <v>3034995</v>
      </c>
      <c r="C15" s="15" t="s">
        <v>50</v>
      </c>
      <c r="D15" s="67">
        <v>50217.2</v>
      </c>
      <c r="E15" s="15" t="s">
        <v>95</v>
      </c>
      <c r="F15" s="15" t="s">
        <v>74</v>
      </c>
      <c r="G15" s="15" t="s">
        <v>222</v>
      </c>
      <c r="H15" s="15" t="s">
        <v>97</v>
      </c>
      <c r="I15" s="15" t="s">
        <v>301</v>
      </c>
      <c r="J15" s="15" t="s">
        <v>302</v>
      </c>
      <c r="K15" s="15" t="s">
        <v>249</v>
      </c>
      <c r="L15" s="15">
        <v>275</v>
      </c>
      <c r="M15" s="15">
        <v>28750</v>
      </c>
      <c r="N15" s="15" t="s">
        <v>38</v>
      </c>
      <c r="O15" s="657"/>
      <c r="P15" s="633"/>
      <c r="Q15" s="632"/>
    </row>
    <row r="16" spans="1:17" ht="25.5" customHeight="1" x14ac:dyDescent="0.25">
      <c r="A16" s="14">
        <v>44487</v>
      </c>
      <c r="B16" s="15">
        <v>2816661</v>
      </c>
      <c r="C16" s="15" t="s">
        <v>9</v>
      </c>
      <c r="D16" s="67">
        <v>0</v>
      </c>
      <c r="E16" s="15"/>
      <c r="F16" s="15" t="s">
        <v>222</v>
      </c>
      <c r="G16" s="15" t="s">
        <v>74</v>
      </c>
      <c r="H16" s="15" t="s">
        <v>97</v>
      </c>
      <c r="I16" s="15" t="s">
        <v>301</v>
      </c>
      <c r="J16" s="15" t="s">
        <v>302</v>
      </c>
      <c r="K16" s="15" t="s">
        <v>249</v>
      </c>
      <c r="L16" s="15">
        <v>275</v>
      </c>
      <c r="M16" s="15">
        <v>0</v>
      </c>
      <c r="N16" s="15" t="s">
        <v>10</v>
      </c>
      <c r="O16" s="657"/>
      <c r="P16" s="633"/>
      <c r="Q16" s="632"/>
    </row>
    <row r="17" spans="1:17" ht="25.5" customHeight="1" x14ac:dyDescent="0.25">
      <c r="A17" s="14">
        <v>44488</v>
      </c>
      <c r="B17" s="15">
        <v>3035773</v>
      </c>
      <c r="C17" s="15" t="s">
        <v>50</v>
      </c>
      <c r="D17" s="67">
        <v>111424.39</v>
      </c>
      <c r="E17" s="15" t="s">
        <v>95</v>
      </c>
      <c r="F17" s="15" t="s">
        <v>74</v>
      </c>
      <c r="G17" s="15" t="s">
        <v>46</v>
      </c>
      <c r="H17" s="15" t="s">
        <v>97</v>
      </c>
      <c r="I17" s="15" t="s">
        <v>301</v>
      </c>
      <c r="J17" s="15" t="s">
        <v>302</v>
      </c>
      <c r="K17" s="15" t="s">
        <v>249</v>
      </c>
      <c r="L17" s="15">
        <v>700</v>
      </c>
      <c r="M17" s="15">
        <v>28720</v>
      </c>
      <c r="N17" s="15" t="s">
        <v>38</v>
      </c>
      <c r="O17" s="648"/>
      <c r="P17" s="633"/>
      <c r="Q17" s="632"/>
    </row>
    <row r="18" spans="1:17" ht="25.5" customHeight="1" x14ac:dyDescent="0.25">
      <c r="A18" s="10">
        <v>44491</v>
      </c>
      <c r="B18" s="11">
        <v>2816666</v>
      </c>
      <c r="C18" s="11" t="s">
        <v>9</v>
      </c>
      <c r="D18" s="66">
        <v>0</v>
      </c>
      <c r="E18" s="11"/>
      <c r="F18" s="11" t="s">
        <v>46</v>
      </c>
      <c r="G18" s="11" t="s">
        <v>303</v>
      </c>
      <c r="H18" s="11" t="s">
        <v>97</v>
      </c>
      <c r="I18" s="11" t="s">
        <v>301</v>
      </c>
      <c r="J18" s="11" t="s">
        <v>302</v>
      </c>
      <c r="K18" s="11" t="s">
        <v>249</v>
      </c>
      <c r="L18" s="11">
        <v>26</v>
      </c>
      <c r="M18" s="11">
        <v>0</v>
      </c>
      <c r="N18" s="11" t="s">
        <v>10</v>
      </c>
      <c r="O18" s="637">
        <v>0</v>
      </c>
      <c r="P18" s="636">
        <v>0</v>
      </c>
      <c r="Q18" s="630">
        <f>D18/(L18+L19)</f>
        <v>0</v>
      </c>
    </row>
    <row r="19" spans="1:17" ht="25.5" customHeight="1" x14ac:dyDescent="0.25">
      <c r="A19" s="10">
        <v>44491</v>
      </c>
      <c r="B19" s="11"/>
      <c r="C19" s="11" t="s">
        <v>9</v>
      </c>
      <c r="D19" s="66">
        <v>0</v>
      </c>
      <c r="E19" s="11"/>
      <c r="F19" s="11" t="s">
        <v>303</v>
      </c>
      <c r="G19" s="11" t="s">
        <v>46</v>
      </c>
      <c r="H19" s="11" t="s">
        <v>97</v>
      </c>
      <c r="I19" s="11" t="s">
        <v>301</v>
      </c>
      <c r="J19" s="11" t="s">
        <v>302</v>
      </c>
      <c r="K19" s="11" t="s">
        <v>249</v>
      </c>
      <c r="L19" s="11">
        <v>26</v>
      </c>
      <c r="M19" s="11">
        <v>0</v>
      </c>
      <c r="N19" s="11" t="s">
        <v>10</v>
      </c>
      <c r="O19" s="638"/>
      <c r="P19" s="636"/>
      <c r="Q19" s="630"/>
    </row>
    <row r="20" spans="1:17" ht="25.5" customHeight="1" x14ac:dyDescent="0.25">
      <c r="A20" s="16">
        <v>44492</v>
      </c>
      <c r="B20" s="17">
        <v>3038459</v>
      </c>
      <c r="C20" s="17" t="s">
        <v>50</v>
      </c>
      <c r="D20" s="70">
        <v>165915.85</v>
      </c>
      <c r="E20" s="17" t="s">
        <v>68</v>
      </c>
      <c r="F20" s="17" t="s">
        <v>46</v>
      </c>
      <c r="G20" s="17" t="s">
        <v>304</v>
      </c>
      <c r="H20" s="17" t="s">
        <v>97</v>
      </c>
      <c r="I20" s="17" t="s">
        <v>301</v>
      </c>
      <c r="J20" s="17" t="s">
        <v>302</v>
      </c>
      <c r="K20" s="17" t="s">
        <v>305</v>
      </c>
      <c r="L20" s="17">
        <v>1060</v>
      </c>
      <c r="M20" s="17">
        <v>28900</v>
      </c>
      <c r="N20" s="17" t="s">
        <v>38</v>
      </c>
      <c r="O20" s="644">
        <v>50936.165950000002</v>
      </c>
      <c r="P20" s="643">
        <f>O20/D20*100</f>
        <v>30.7</v>
      </c>
      <c r="Q20" s="628">
        <f>D20/(L20+L21)</f>
        <v>78.262193396226422</v>
      </c>
    </row>
    <row r="21" spans="1:17" ht="25.5" customHeight="1" x14ac:dyDescent="0.25">
      <c r="A21" s="16">
        <v>44494</v>
      </c>
      <c r="B21" s="17">
        <v>2816593</v>
      </c>
      <c r="C21" s="17" t="s">
        <v>9</v>
      </c>
      <c r="D21" s="70">
        <v>0</v>
      </c>
      <c r="E21" s="17"/>
      <c r="F21" s="17" t="s">
        <v>304</v>
      </c>
      <c r="G21" s="17" t="s">
        <v>46</v>
      </c>
      <c r="H21" s="17" t="s">
        <v>97</v>
      </c>
      <c r="I21" s="17" t="s">
        <v>301</v>
      </c>
      <c r="J21" s="17" t="s">
        <v>302</v>
      </c>
      <c r="K21" s="17" t="s">
        <v>305</v>
      </c>
      <c r="L21" s="17">
        <v>1060</v>
      </c>
      <c r="M21" s="17">
        <v>0</v>
      </c>
      <c r="N21" s="17" t="s">
        <v>10</v>
      </c>
      <c r="O21" s="645"/>
      <c r="P21" s="643"/>
      <c r="Q21" s="628"/>
    </row>
    <row r="22" spans="1:17" ht="25.5" customHeight="1" x14ac:dyDescent="0.25">
      <c r="A22" s="12">
        <v>44495</v>
      </c>
      <c r="B22" s="13">
        <v>3038724</v>
      </c>
      <c r="C22" s="13" t="s">
        <v>50</v>
      </c>
      <c r="D22" s="68">
        <v>87138.65</v>
      </c>
      <c r="E22" s="13" t="s">
        <v>68</v>
      </c>
      <c r="F22" s="13" t="s">
        <v>46</v>
      </c>
      <c r="G22" s="13" t="s">
        <v>69</v>
      </c>
      <c r="H22" s="13" t="s">
        <v>97</v>
      </c>
      <c r="I22" s="13" t="s">
        <v>301</v>
      </c>
      <c r="J22" s="13" t="s">
        <v>302</v>
      </c>
      <c r="K22" s="13" t="s">
        <v>305</v>
      </c>
      <c r="L22" s="13">
        <v>528</v>
      </c>
      <c r="M22" s="13">
        <v>28800</v>
      </c>
      <c r="N22" s="13" t="s">
        <v>38</v>
      </c>
      <c r="O22" s="640">
        <v>65107.88</v>
      </c>
      <c r="P22" s="635">
        <f>O22/(D22+D24)*100</f>
        <v>30.700002173730891</v>
      </c>
      <c r="Q22" s="634">
        <f>(D22+D24)/(L22+L23+L24+L25)</f>
        <v>122.30551903114186</v>
      </c>
    </row>
    <row r="23" spans="1:17" ht="25.5" customHeight="1" x14ac:dyDescent="0.25">
      <c r="A23" s="12">
        <v>44496</v>
      </c>
      <c r="B23" s="13">
        <v>2816659</v>
      </c>
      <c r="C23" s="13" t="s">
        <v>9</v>
      </c>
      <c r="D23" s="68">
        <v>0</v>
      </c>
      <c r="E23" s="13"/>
      <c r="F23" s="13" t="s">
        <v>69</v>
      </c>
      <c r="G23" s="13" t="s">
        <v>74</v>
      </c>
      <c r="H23" s="13" t="s">
        <v>97</v>
      </c>
      <c r="I23" s="13" t="s">
        <v>301</v>
      </c>
      <c r="J23" s="13" t="s">
        <v>302</v>
      </c>
      <c r="K23" s="13" t="s">
        <v>305</v>
      </c>
      <c r="L23" s="13">
        <v>169</v>
      </c>
      <c r="M23" s="13">
        <v>0</v>
      </c>
      <c r="N23" s="13" t="s">
        <v>10</v>
      </c>
      <c r="O23" s="641"/>
      <c r="P23" s="635"/>
      <c r="Q23" s="634"/>
    </row>
    <row r="24" spans="1:17" ht="25.5" customHeight="1" x14ac:dyDescent="0.25">
      <c r="A24" s="12">
        <v>44496</v>
      </c>
      <c r="B24" s="13">
        <v>3040742</v>
      </c>
      <c r="C24" s="13" t="s">
        <v>50</v>
      </c>
      <c r="D24" s="68">
        <v>124939.12</v>
      </c>
      <c r="E24" s="13" t="s">
        <v>95</v>
      </c>
      <c r="F24" s="13" t="s">
        <v>74</v>
      </c>
      <c r="G24" s="13" t="s">
        <v>96</v>
      </c>
      <c r="H24" s="13" t="s">
        <v>97</v>
      </c>
      <c r="I24" s="13" t="s">
        <v>301</v>
      </c>
      <c r="J24" s="13" t="s">
        <v>302</v>
      </c>
      <c r="K24" s="13" t="s">
        <v>305</v>
      </c>
      <c r="L24" s="13">
        <v>805</v>
      </c>
      <c r="M24" s="13">
        <v>29170</v>
      </c>
      <c r="N24" s="13" t="s">
        <v>38</v>
      </c>
      <c r="O24" s="641"/>
      <c r="P24" s="635"/>
      <c r="Q24" s="634"/>
    </row>
    <row r="25" spans="1:17" ht="25.5" customHeight="1" x14ac:dyDescent="0.25">
      <c r="A25" s="79">
        <v>44499</v>
      </c>
      <c r="B25" s="80">
        <v>2816660</v>
      </c>
      <c r="C25" s="80" t="s">
        <v>9</v>
      </c>
      <c r="D25" s="71">
        <v>0</v>
      </c>
      <c r="E25" s="80"/>
      <c r="F25" s="80" t="s">
        <v>96</v>
      </c>
      <c r="G25" s="80" t="s">
        <v>46</v>
      </c>
      <c r="H25" s="80" t="s">
        <v>97</v>
      </c>
      <c r="I25" s="80" t="s">
        <v>301</v>
      </c>
      <c r="J25" s="80" t="s">
        <v>302</v>
      </c>
      <c r="K25" s="80" t="s">
        <v>305</v>
      </c>
      <c r="L25" s="80">
        <v>232</v>
      </c>
      <c r="M25" s="80">
        <v>0</v>
      </c>
      <c r="N25" s="80" t="s">
        <v>10</v>
      </c>
      <c r="O25" s="642"/>
      <c r="P25" s="635"/>
      <c r="Q25" s="634"/>
    </row>
    <row r="26" spans="1:17" x14ac:dyDescent="0.25">
      <c r="A26" s="9"/>
      <c r="B26" s="9"/>
      <c r="C26" s="9"/>
      <c r="D26" s="18">
        <f>SUM(D4:D25)</f>
        <v>999011.72</v>
      </c>
      <c r="E26" s="9"/>
      <c r="F26" s="9"/>
      <c r="G26" s="9"/>
      <c r="H26" s="9"/>
      <c r="I26" s="9"/>
      <c r="J26" s="9"/>
      <c r="K26" s="9"/>
      <c r="L26" s="9">
        <f>SUM(L4:L25)</f>
        <v>11750</v>
      </c>
      <c r="M26" s="9"/>
      <c r="N26" s="9"/>
      <c r="O26" s="24">
        <f>SUM(O4:O25)</f>
        <v>306696.60193999996</v>
      </c>
      <c r="P26" s="64">
        <f>O26/D26*100</f>
        <v>30.700000390385807</v>
      </c>
      <c r="Q26" s="26">
        <f>D26/L26</f>
        <v>85.022274042553192</v>
      </c>
    </row>
    <row r="28" spans="1:17" ht="15" customHeight="1" x14ac:dyDescent="0.25">
      <c r="A28" s="36" t="s">
        <v>322</v>
      </c>
      <c r="B28" s="36" t="s">
        <v>323</v>
      </c>
      <c r="C28" s="36" t="s">
        <v>324</v>
      </c>
      <c r="D28" s="36" t="s">
        <v>325</v>
      </c>
      <c r="F28" s="37" t="s">
        <v>326</v>
      </c>
      <c r="G28" s="37" t="s">
        <v>327</v>
      </c>
      <c r="H28" s="37" t="s">
        <v>328</v>
      </c>
      <c r="I28" s="38"/>
    </row>
    <row r="29" spans="1:17" x14ac:dyDescent="0.25">
      <c r="A29" s="39">
        <f>D26/L26</f>
        <v>85.022274042553192</v>
      </c>
      <c r="B29" s="40">
        <f>COMBUSTIBLE!C200</f>
        <v>3820.0199999999995</v>
      </c>
      <c r="C29" s="41">
        <f>B29/L26*100</f>
        <v>32.510808510638292</v>
      </c>
      <c r="D29" s="42">
        <f>B35/B29</f>
        <v>68.515786829084604</v>
      </c>
      <c r="F29" s="43">
        <f>+B35/D26</f>
        <v>0.26199059606912295</v>
      </c>
      <c r="G29" s="43">
        <f>B40/D26</f>
        <v>0.31287629151027468</v>
      </c>
      <c r="H29" s="44"/>
      <c r="I29" s="38"/>
    </row>
    <row r="30" spans="1:17" x14ac:dyDescent="0.25">
      <c r="F30" s="38"/>
      <c r="G30" s="38"/>
      <c r="H30" s="38"/>
      <c r="I30" s="38"/>
    </row>
    <row r="31" spans="1:17" x14ac:dyDescent="0.25">
      <c r="A31" s="36"/>
      <c r="B31" s="36" t="s">
        <v>329</v>
      </c>
      <c r="C31" s="36" t="s">
        <v>330</v>
      </c>
      <c r="D31" s="36" t="s">
        <v>249</v>
      </c>
      <c r="K31" s="25"/>
      <c r="L31" s="29"/>
      <c r="M31" s="25"/>
      <c r="O31" s="2"/>
      <c r="P31" s="2"/>
      <c r="Q31" s="2"/>
    </row>
    <row r="32" spans="1:17" x14ac:dyDescent="0.25">
      <c r="A32" s="7" t="s">
        <v>331</v>
      </c>
      <c r="B32" s="24">
        <f>D26</f>
        <v>999011.72</v>
      </c>
      <c r="C32" s="45">
        <f>B33</f>
        <v>306696.60193999996</v>
      </c>
      <c r="D32" s="46">
        <f>C32/B32</f>
        <v>0.30700000390385807</v>
      </c>
      <c r="K32" s="25"/>
      <c r="L32" s="29"/>
      <c r="M32" s="25"/>
      <c r="O32" s="2"/>
      <c r="P32" s="2"/>
      <c r="Q32" s="2"/>
    </row>
    <row r="33" spans="1:4" x14ac:dyDescent="0.25">
      <c r="A33" s="47" t="s">
        <v>27</v>
      </c>
      <c r="B33" s="24">
        <f>O26</f>
        <v>306696.60193999996</v>
      </c>
      <c r="C33" s="9"/>
    </row>
    <row r="34" spans="1:4" x14ac:dyDescent="0.25">
      <c r="A34" s="48" t="s">
        <v>332</v>
      </c>
      <c r="B34" s="49">
        <f>(6*(78578.313+12454.55))/(150000+80000)*L26</f>
        <v>27903.551484782609</v>
      </c>
      <c r="C34" s="49">
        <f>(12*(78578.313+12454.55))/(150000+80000)*L26</f>
        <v>55807.102969565218</v>
      </c>
    </row>
    <row r="35" spans="1:4" x14ac:dyDescent="0.25">
      <c r="A35" s="48" t="s">
        <v>333</v>
      </c>
      <c r="B35" s="24">
        <f>COMBUSTIBLE!J200</f>
        <v>261731.67600283973</v>
      </c>
      <c r="C35" s="9"/>
    </row>
    <row r="36" spans="1:4" x14ac:dyDescent="0.25">
      <c r="A36" s="48" t="s">
        <v>334</v>
      </c>
      <c r="B36" s="24"/>
      <c r="C36" s="9"/>
    </row>
    <row r="37" spans="1:4" x14ac:dyDescent="0.25">
      <c r="A37" s="48" t="s">
        <v>335</v>
      </c>
      <c r="B37" s="24">
        <f>'PATENTE PROVINCIAL'!N68</f>
        <v>2667.7</v>
      </c>
      <c r="C37" s="42"/>
    </row>
    <row r="38" spans="1:4" x14ac:dyDescent="0.25">
      <c r="A38" s="48" t="s">
        <v>336</v>
      </c>
      <c r="B38" s="24">
        <f>'PATENTE MUNICIPAL'!I75</f>
        <v>3732.5166666666664</v>
      </c>
      <c r="C38" s="42">
        <f>'PATENTE MUNICIPAL'!I39</f>
        <v>20.833333333333332</v>
      </c>
    </row>
    <row r="39" spans="1:4" x14ac:dyDescent="0.25">
      <c r="A39" s="48" t="s">
        <v>337</v>
      </c>
      <c r="B39" s="24">
        <f>SEGURO!K79</f>
        <v>1234.7206287160027</v>
      </c>
      <c r="C39" s="42">
        <f>SEGURO!K43</f>
        <v>261.09831688804553</v>
      </c>
    </row>
    <row r="40" spans="1:4" x14ac:dyDescent="0.25">
      <c r="A40" s="48" t="s">
        <v>338</v>
      </c>
      <c r="B40" s="24">
        <f>L26*SUELDOS!Z7</f>
        <v>312567.08212890092</v>
      </c>
      <c r="C40" s="42"/>
      <c r="D40" s="50">
        <f>B40/L26</f>
        <v>26.601453798204332</v>
      </c>
    </row>
    <row r="41" spans="1:4" x14ac:dyDescent="0.25">
      <c r="A41" s="48" t="s">
        <v>339</v>
      </c>
      <c r="B41" s="24">
        <f>'GASTOS TRACTOR'!H414</f>
        <v>16317.949472999997</v>
      </c>
      <c r="C41" s="42">
        <f>'GASTOS SEMI'!H118</f>
        <v>74463.95</v>
      </c>
    </row>
    <row r="42" spans="1:4" x14ac:dyDescent="0.25">
      <c r="A42" s="48" t="s">
        <v>340</v>
      </c>
      <c r="B42" s="24">
        <f>SUM(B34:B41)</f>
        <v>626155.19638490595</v>
      </c>
      <c r="C42" s="51">
        <f>SUM(C34:C41)</f>
        <v>130552.9846197866</v>
      </c>
    </row>
    <row r="43" spans="1:4" x14ac:dyDescent="0.25">
      <c r="A43" s="36" t="s">
        <v>341</v>
      </c>
      <c r="B43" s="52">
        <f>B32-B33-B42</f>
        <v>66159.921675094054</v>
      </c>
      <c r="C43" s="53">
        <f>C32-C33-C42</f>
        <v>176143.61732021335</v>
      </c>
      <c r="D43" s="52">
        <f>+B43+C43</f>
        <v>242303.5389953074</v>
      </c>
    </row>
  </sheetData>
  <sortState xmlns:xlrd2="http://schemas.microsoft.com/office/spreadsheetml/2017/richdata2" ref="A2:P23">
    <sortCondition ref="A1"/>
  </sortState>
  <mergeCells count="22">
    <mergeCell ref="Q22:Q25"/>
    <mergeCell ref="P22:P25"/>
    <mergeCell ref="O22:O25"/>
    <mergeCell ref="Q20:Q21"/>
    <mergeCell ref="P20:P21"/>
    <mergeCell ref="O20:O21"/>
    <mergeCell ref="Q18:Q19"/>
    <mergeCell ref="P18:P19"/>
    <mergeCell ref="O18:O19"/>
    <mergeCell ref="Q11:Q17"/>
    <mergeCell ref="P11:P17"/>
    <mergeCell ref="O11:O17"/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</mergeCells>
  <conditionalFormatting sqref="C29">
    <cfRule type="cellIs" dxfId="20" priority="1" operator="lessThan">
      <formula>29</formula>
    </cfRule>
    <cfRule type="cellIs" dxfId="19" priority="2" operator="greaterThan">
      <formula>38</formula>
    </cfRule>
    <cfRule type="cellIs" dxfId="18" priority="3" operator="lessThan">
      <formula>38</formula>
    </cfRule>
    <cfRule type="cellIs" dxfId="17" priority="4" operator="lessThan">
      <formula>38</formula>
    </cfRule>
    <cfRule type="cellIs" dxfId="16" priority="5" operator="greaterThan">
      <formula>40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00"/>
  </sheetPr>
  <dimension ref="A1:Q38"/>
  <sheetViews>
    <sheetView topLeftCell="A7" zoomScaleNormal="100" workbookViewId="0">
      <selection activeCell="I12" sqref="I12"/>
    </sheetView>
  </sheetViews>
  <sheetFormatPr baseColWidth="10" defaultRowHeight="15" x14ac:dyDescent="0.25"/>
  <cols>
    <col min="1" max="1" width="14.42578125" style="2" bestFit="1" customWidth="1"/>
    <col min="2" max="2" width="14.5703125" style="2" bestFit="1" customWidth="1"/>
    <col min="3" max="3" width="14.28515625" style="2" bestFit="1" customWidth="1"/>
    <col min="4" max="4" width="14.5703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17.140625" style="2" bestFit="1" customWidth="1"/>
    <col min="10" max="10" width="8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7" t="s">
        <v>359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3026671</v>
      </c>
      <c r="C4" s="11" t="s">
        <v>50</v>
      </c>
      <c r="D4" s="66">
        <v>130621.8</v>
      </c>
      <c r="E4" s="11" t="s">
        <v>51</v>
      </c>
      <c r="F4" s="11" t="s">
        <v>46</v>
      </c>
      <c r="G4" s="11" t="s">
        <v>126</v>
      </c>
      <c r="H4" s="11" t="s">
        <v>97</v>
      </c>
      <c r="I4" s="11" t="s">
        <v>315</v>
      </c>
      <c r="J4" s="11" t="s">
        <v>316</v>
      </c>
      <c r="K4" s="11" t="s">
        <v>317</v>
      </c>
      <c r="L4" s="11">
        <v>671</v>
      </c>
      <c r="M4" s="11">
        <v>34400</v>
      </c>
      <c r="N4" s="11" t="s">
        <v>38</v>
      </c>
      <c r="O4" s="630">
        <v>40100.892599999999</v>
      </c>
      <c r="P4" s="631">
        <f>O4/D4*100</f>
        <v>30.7</v>
      </c>
      <c r="Q4" s="630">
        <f>D4/(L4+L5)</f>
        <v>97.333681073025332</v>
      </c>
    </row>
    <row r="5" spans="1:17" ht="25.5" customHeight="1" x14ac:dyDescent="0.25">
      <c r="A5" s="10">
        <v>44473</v>
      </c>
      <c r="B5" s="11">
        <v>2816274</v>
      </c>
      <c r="C5" s="11" t="s">
        <v>9</v>
      </c>
      <c r="D5" s="66">
        <v>0</v>
      </c>
      <c r="E5" s="11"/>
      <c r="F5" s="11" t="s">
        <v>126</v>
      </c>
      <c r="G5" s="11" t="s">
        <v>46</v>
      </c>
      <c r="H5" s="11" t="s">
        <v>97</v>
      </c>
      <c r="I5" s="11" t="s">
        <v>315</v>
      </c>
      <c r="J5" s="11" t="s">
        <v>316</v>
      </c>
      <c r="K5" s="11" t="s">
        <v>317</v>
      </c>
      <c r="L5" s="11">
        <v>671</v>
      </c>
      <c r="M5" s="11">
        <v>0</v>
      </c>
      <c r="N5" s="11" t="s">
        <v>10</v>
      </c>
      <c r="O5" s="630"/>
      <c r="P5" s="631"/>
      <c r="Q5" s="630"/>
    </row>
    <row r="6" spans="1:17" ht="25.5" customHeight="1" x14ac:dyDescent="0.25">
      <c r="A6" s="16">
        <v>44474</v>
      </c>
      <c r="B6" s="17">
        <v>3029883</v>
      </c>
      <c r="C6" s="17" t="s">
        <v>50</v>
      </c>
      <c r="D6" s="70">
        <v>131685</v>
      </c>
      <c r="E6" s="17" t="s">
        <v>51</v>
      </c>
      <c r="F6" s="17" t="s">
        <v>46</v>
      </c>
      <c r="G6" s="17" t="s">
        <v>126</v>
      </c>
      <c r="H6" s="17" t="s">
        <v>97</v>
      </c>
      <c r="I6" s="17" t="s">
        <v>315</v>
      </c>
      <c r="J6" s="17" t="s">
        <v>316</v>
      </c>
      <c r="K6" s="17" t="s">
        <v>317</v>
      </c>
      <c r="L6" s="17">
        <v>671</v>
      </c>
      <c r="M6" s="17">
        <v>34680</v>
      </c>
      <c r="N6" s="17" t="s">
        <v>38</v>
      </c>
      <c r="O6" s="628">
        <v>40427.294999999998</v>
      </c>
      <c r="P6" s="629">
        <f>O6/D6*100</f>
        <v>30.7</v>
      </c>
      <c r="Q6" s="628">
        <f>D6/(L6+L7)</f>
        <v>98.125931445603584</v>
      </c>
    </row>
    <row r="7" spans="1:17" ht="25.5" customHeight="1" x14ac:dyDescent="0.25">
      <c r="A7" s="16">
        <v>44476</v>
      </c>
      <c r="B7" s="17">
        <v>2816388</v>
      </c>
      <c r="C7" s="17" t="s">
        <v>9</v>
      </c>
      <c r="D7" s="70">
        <v>0</v>
      </c>
      <c r="E7" s="17"/>
      <c r="F7" s="17" t="s">
        <v>126</v>
      </c>
      <c r="G7" s="17" t="s">
        <v>46</v>
      </c>
      <c r="H7" s="17" t="s">
        <v>97</v>
      </c>
      <c r="I7" s="17" t="s">
        <v>315</v>
      </c>
      <c r="J7" s="17" t="s">
        <v>316</v>
      </c>
      <c r="K7" s="17" t="s">
        <v>317</v>
      </c>
      <c r="L7" s="17">
        <v>671</v>
      </c>
      <c r="M7" s="17">
        <v>0</v>
      </c>
      <c r="N7" s="17" t="s">
        <v>10</v>
      </c>
      <c r="O7" s="628"/>
      <c r="P7" s="629"/>
      <c r="Q7" s="628"/>
    </row>
    <row r="8" spans="1:17" ht="25.5" customHeight="1" x14ac:dyDescent="0.25">
      <c r="A8" s="12">
        <v>44477</v>
      </c>
      <c r="B8" s="13">
        <v>3031480</v>
      </c>
      <c r="C8" s="13" t="s">
        <v>50</v>
      </c>
      <c r="D8" s="68">
        <v>100111.13</v>
      </c>
      <c r="E8" s="13" t="s">
        <v>68</v>
      </c>
      <c r="F8" s="13" t="s">
        <v>46</v>
      </c>
      <c r="G8" s="13" t="s">
        <v>290</v>
      </c>
      <c r="H8" s="13" t="s">
        <v>97</v>
      </c>
      <c r="I8" s="13" t="s">
        <v>315</v>
      </c>
      <c r="J8" s="13" t="s">
        <v>316</v>
      </c>
      <c r="K8" s="13" t="s">
        <v>317</v>
      </c>
      <c r="L8" s="13">
        <v>540</v>
      </c>
      <c r="M8" s="13">
        <v>34680</v>
      </c>
      <c r="N8" s="13" t="s">
        <v>38</v>
      </c>
      <c r="O8" s="634">
        <v>30734.116910000001</v>
      </c>
      <c r="P8" s="635">
        <f>O8/D8*100</f>
        <v>30.7</v>
      </c>
      <c r="Q8" s="634">
        <f>D8/(L8+L9)</f>
        <v>92.695490740740752</v>
      </c>
    </row>
    <row r="9" spans="1:17" ht="25.5" customHeight="1" x14ac:dyDescent="0.25">
      <c r="A9" s="12">
        <v>44481</v>
      </c>
      <c r="B9" s="13">
        <v>2816411</v>
      </c>
      <c r="C9" s="13" t="s">
        <v>9</v>
      </c>
      <c r="D9" s="68">
        <v>0</v>
      </c>
      <c r="E9" s="13"/>
      <c r="F9" s="13" t="s">
        <v>290</v>
      </c>
      <c r="G9" s="13" t="s">
        <v>46</v>
      </c>
      <c r="H9" s="13" t="s">
        <v>97</v>
      </c>
      <c r="I9" s="13" t="s">
        <v>315</v>
      </c>
      <c r="J9" s="13" t="s">
        <v>316</v>
      </c>
      <c r="K9" s="13" t="s">
        <v>317</v>
      </c>
      <c r="L9" s="13">
        <v>540</v>
      </c>
      <c r="M9" s="13">
        <v>0</v>
      </c>
      <c r="N9" s="13" t="s">
        <v>10</v>
      </c>
      <c r="O9" s="634"/>
      <c r="P9" s="635"/>
      <c r="Q9" s="634"/>
    </row>
    <row r="10" spans="1:17" ht="25.5" customHeight="1" x14ac:dyDescent="0.25">
      <c r="A10" s="14">
        <v>44482</v>
      </c>
      <c r="B10" s="15">
        <v>3033066</v>
      </c>
      <c r="C10" s="15" t="s">
        <v>50</v>
      </c>
      <c r="D10" s="67">
        <v>25164.01</v>
      </c>
      <c r="E10" s="15" t="s">
        <v>68</v>
      </c>
      <c r="F10" s="15" t="s">
        <v>46</v>
      </c>
      <c r="G10" s="15" t="s">
        <v>81</v>
      </c>
      <c r="H10" s="15" t="s">
        <v>97</v>
      </c>
      <c r="I10" s="15" t="s">
        <v>315</v>
      </c>
      <c r="J10" s="15" t="s">
        <v>316</v>
      </c>
      <c r="K10" s="15" t="s">
        <v>317</v>
      </c>
      <c r="L10" s="15">
        <v>120</v>
      </c>
      <c r="M10" s="15">
        <v>34580</v>
      </c>
      <c r="N10" s="15" t="s">
        <v>38</v>
      </c>
      <c r="O10" s="632">
        <v>48860.696000000004</v>
      </c>
      <c r="P10" s="633">
        <f>O10/(D10+D12)*100</f>
        <v>30.700000301592105</v>
      </c>
      <c r="Q10" s="632">
        <f>(D10+D12)/(L10+L11+L12)</f>
        <v>115.32997101449277</v>
      </c>
    </row>
    <row r="11" spans="1:17" ht="25.5" customHeight="1" x14ac:dyDescent="0.25">
      <c r="A11" s="14">
        <v>44483</v>
      </c>
      <c r="B11" s="15">
        <v>2816549</v>
      </c>
      <c r="C11" s="15" t="s">
        <v>9</v>
      </c>
      <c r="D11" s="67">
        <v>0</v>
      </c>
      <c r="E11" s="15"/>
      <c r="F11" s="15" t="s">
        <v>81</v>
      </c>
      <c r="G11" s="15" t="s">
        <v>74</v>
      </c>
      <c r="H11" s="15" t="s">
        <v>97</v>
      </c>
      <c r="I11" s="15" t="s">
        <v>315</v>
      </c>
      <c r="J11" s="15" t="s">
        <v>316</v>
      </c>
      <c r="K11" s="15" t="s">
        <v>317</v>
      </c>
      <c r="L11" s="15">
        <v>560</v>
      </c>
      <c r="M11" s="15">
        <v>0</v>
      </c>
      <c r="N11" s="15" t="s">
        <v>10</v>
      </c>
      <c r="O11" s="632"/>
      <c r="P11" s="633"/>
      <c r="Q11" s="632"/>
    </row>
    <row r="12" spans="1:17" ht="25.5" customHeight="1" x14ac:dyDescent="0.25">
      <c r="A12" s="14">
        <v>44484</v>
      </c>
      <c r="B12" s="15">
        <v>3034010</v>
      </c>
      <c r="C12" s="15" t="s">
        <v>50</v>
      </c>
      <c r="D12" s="67">
        <v>133991.35</v>
      </c>
      <c r="E12" s="15" t="s">
        <v>95</v>
      </c>
      <c r="F12" s="15" t="s">
        <v>74</v>
      </c>
      <c r="G12" s="15" t="s">
        <v>46</v>
      </c>
      <c r="H12" s="15" t="s">
        <v>97</v>
      </c>
      <c r="I12" s="15" t="s">
        <v>315</v>
      </c>
      <c r="J12" s="15" t="s">
        <v>316</v>
      </c>
      <c r="K12" s="15" t="s">
        <v>317</v>
      </c>
      <c r="L12" s="15">
        <v>700</v>
      </c>
      <c r="M12" s="15">
        <v>34300</v>
      </c>
      <c r="N12" s="15" t="s">
        <v>38</v>
      </c>
      <c r="O12" s="632"/>
      <c r="P12" s="633"/>
      <c r="Q12" s="632"/>
    </row>
    <row r="13" spans="1:17" ht="25.5" customHeight="1" x14ac:dyDescent="0.25">
      <c r="A13" s="10">
        <v>44487</v>
      </c>
      <c r="B13" s="11">
        <v>3035445</v>
      </c>
      <c r="C13" s="11" t="s">
        <v>50</v>
      </c>
      <c r="D13" s="66">
        <v>131533.12</v>
      </c>
      <c r="E13" s="11" t="s">
        <v>68</v>
      </c>
      <c r="F13" s="11" t="s">
        <v>46</v>
      </c>
      <c r="G13" s="11" t="s">
        <v>126</v>
      </c>
      <c r="H13" s="11" t="s">
        <v>97</v>
      </c>
      <c r="I13" s="11" t="s">
        <v>315</v>
      </c>
      <c r="J13" s="11" t="s">
        <v>316</v>
      </c>
      <c r="K13" s="11" t="s">
        <v>317</v>
      </c>
      <c r="L13" s="11">
        <v>671</v>
      </c>
      <c r="M13" s="11">
        <v>34760</v>
      </c>
      <c r="N13" s="11" t="s">
        <v>38</v>
      </c>
      <c r="O13" s="630">
        <v>40380.667840000002</v>
      </c>
      <c r="P13" s="631">
        <f>O13/D13*100</f>
        <v>30.700000000000006</v>
      </c>
      <c r="Q13" s="630">
        <f>D13/(L13+L14)</f>
        <v>98.012757078986581</v>
      </c>
    </row>
    <row r="14" spans="1:17" ht="25.5" customHeight="1" x14ac:dyDescent="0.25">
      <c r="A14" s="10">
        <v>44488</v>
      </c>
      <c r="B14" s="11">
        <v>2816573</v>
      </c>
      <c r="C14" s="11" t="s">
        <v>9</v>
      </c>
      <c r="D14" s="66">
        <v>0</v>
      </c>
      <c r="E14" s="11"/>
      <c r="F14" s="11" t="s">
        <v>126</v>
      </c>
      <c r="G14" s="11" t="s">
        <v>46</v>
      </c>
      <c r="H14" s="11" t="s">
        <v>97</v>
      </c>
      <c r="I14" s="11" t="s">
        <v>315</v>
      </c>
      <c r="J14" s="11" t="s">
        <v>316</v>
      </c>
      <c r="K14" s="11" t="s">
        <v>317</v>
      </c>
      <c r="L14" s="11">
        <v>671</v>
      </c>
      <c r="M14" s="11">
        <v>0</v>
      </c>
      <c r="N14" s="11" t="s">
        <v>10</v>
      </c>
      <c r="O14" s="630"/>
      <c r="P14" s="631"/>
      <c r="Q14" s="630"/>
    </row>
    <row r="15" spans="1:17" ht="25.5" customHeight="1" x14ac:dyDescent="0.25">
      <c r="A15" s="16">
        <v>44489</v>
      </c>
      <c r="B15" s="17">
        <v>3036817</v>
      </c>
      <c r="C15" s="17" t="s">
        <v>50</v>
      </c>
      <c r="D15" s="70">
        <v>132216.6</v>
      </c>
      <c r="E15" s="17" t="s">
        <v>68</v>
      </c>
      <c r="F15" s="17" t="s">
        <v>46</v>
      </c>
      <c r="G15" s="17" t="s">
        <v>126</v>
      </c>
      <c r="H15" s="17" t="s">
        <v>97</v>
      </c>
      <c r="I15" s="17" t="s">
        <v>315</v>
      </c>
      <c r="J15" s="17" t="s">
        <v>316</v>
      </c>
      <c r="K15" s="17" t="s">
        <v>317</v>
      </c>
      <c r="L15" s="17">
        <v>671</v>
      </c>
      <c r="M15" s="17">
        <v>34820</v>
      </c>
      <c r="N15" s="17" t="s">
        <v>38</v>
      </c>
      <c r="O15" s="628">
        <v>40590.496200000001</v>
      </c>
      <c r="P15" s="629">
        <f>O15/D15*100</f>
        <v>30.7</v>
      </c>
      <c r="Q15" s="628">
        <f>D15/(L15+L16)</f>
        <v>98.522056631892696</v>
      </c>
    </row>
    <row r="16" spans="1:17" ht="25.5" customHeight="1" x14ac:dyDescent="0.25">
      <c r="A16" s="16">
        <v>44491</v>
      </c>
      <c r="B16" s="17">
        <v>2816572</v>
      </c>
      <c r="C16" s="17" t="s">
        <v>9</v>
      </c>
      <c r="D16" s="70">
        <v>0</v>
      </c>
      <c r="E16" s="17"/>
      <c r="F16" s="17" t="s">
        <v>126</v>
      </c>
      <c r="G16" s="17" t="s">
        <v>46</v>
      </c>
      <c r="H16" s="17" t="s">
        <v>97</v>
      </c>
      <c r="I16" s="17" t="s">
        <v>315</v>
      </c>
      <c r="J16" s="17" t="s">
        <v>316</v>
      </c>
      <c r="K16" s="17" t="s">
        <v>317</v>
      </c>
      <c r="L16" s="17">
        <v>671</v>
      </c>
      <c r="M16" s="17">
        <v>0</v>
      </c>
      <c r="N16" s="17" t="s">
        <v>10</v>
      </c>
      <c r="O16" s="628"/>
      <c r="P16" s="629"/>
      <c r="Q16" s="628"/>
    </row>
    <row r="17" spans="1:17" ht="25.5" customHeight="1" x14ac:dyDescent="0.25">
      <c r="A17" s="12">
        <v>44492</v>
      </c>
      <c r="B17" s="13">
        <v>3038472</v>
      </c>
      <c r="C17" s="13" t="s">
        <v>50</v>
      </c>
      <c r="D17" s="68">
        <v>93550.24</v>
      </c>
      <c r="E17" s="13" t="s">
        <v>68</v>
      </c>
      <c r="F17" s="13" t="s">
        <v>46</v>
      </c>
      <c r="G17" s="13" t="s">
        <v>52</v>
      </c>
      <c r="H17" s="13" t="s">
        <v>97</v>
      </c>
      <c r="I17" s="13" t="s">
        <v>315</v>
      </c>
      <c r="J17" s="13" t="s">
        <v>316</v>
      </c>
      <c r="K17" s="13" t="s">
        <v>317</v>
      </c>
      <c r="L17" s="13">
        <v>450</v>
      </c>
      <c r="M17" s="13">
        <v>34700</v>
      </c>
      <c r="N17" s="13" t="s">
        <v>38</v>
      </c>
      <c r="O17" s="634">
        <v>74242.543999999994</v>
      </c>
      <c r="P17" s="635">
        <f>O17/(D17+D19)*100</f>
        <v>30.700000111647576</v>
      </c>
      <c r="Q17" s="634">
        <f>(D17+D19)/(L17+L18+L19+L20)</f>
        <v>100.05477451386017</v>
      </c>
    </row>
    <row r="18" spans="1:17" ht="25.5" customHeight="1" x14ac:dyDescent="0.25">
      <c r="A18" s="12">
        <v>44494</v>
      </c>
      <c r="B18" s="13">
        <v>2816589</v>
      </c>
      <c r="C18" s="13" t="s">
        <v>9</v>
      </c>
      <c r="D18" s="68">
        <v>0</v>
      </c>
      <c r="E18" s="13"/>
      <c r="F18" s="13" t="s">
        <v>52</v>
      </c>
      <c r="G18" s="13" t="s">
        <v>74</v>
      </c>
      <c r="H18" s="13" t="s">
        <v>97</v>
      </c>
      <c r="I18" s="13" t="s">
        <v>315</v>
      </c>
      <c r="J18" s="13" t="s">
        <v>316</v>
      </c>
      <c r="K18" s="13" t="s">
        <v>317</v>
      </c>
      <c r="L18" s="13">
        <v>930</v>
      </c>
      <c r="M18" s="13">
        <v>0</v>
      </c>
      <c r="N18" s="13" t="s">
        <v>10</v>
      </c>
      <c r="O18" s="634"/>
      <c r="P18" s="635"/>
      <c r="Q18" s="634"/>
    </row>
    <row r="19" spans="1:17" ht="25.5" customHeight="1" x14ac:dyDescent="0.25">
      <c r="A19" s="12">
        <v>44495</v>
      </c>
      <c r="B19" s="13">
        <v>3039444</v>
      </c>
      <c r="C19" s="13" t="s">
        <v>50</v>
      </c>
      <c r="D19" s="68">
        <v>148282.15</v>
      </c>
      <c r="E19" s="13" t="s">
        <v>95</v>
      </c>
      <c r="F19" s="13" t="s">
        <v>74</v>
      </c>
      <c r="G19" s="13" t="s">
        <v>96</v>
      </c>
      <c r="H19" s="13" t="s">
        <v>97</v>
      </c>
      <c r="I19" s="13" t="s">
        <v>315</v>
      </c>
      <c r="J19" s="13" t="s">
        <v>316</v>
      </c>
      <c r="K19" s="13" t="s">
        <v>317</v>
      </c>
      <c r="L19" s="13">
        <v>805</v>
      </c>
      <c r="M19" s="13">
        <v>34620</v>
      </c>
      <c r="N19" s="13" t="s">
        <v>38</v>
      </c>
      <c r="O19" s="634"/>
      <c r="P19" s="635"/>
      <c r="Q19" s="634"/>
    </row>
    <row r="20" spans="1:17" ht="25.5" customHeight="1" x14ac:dyDescent="0.25">
      <c r="A20" s="79">
        <v>44499</v>
      </c>
      <c r="B20" s="80">
        <v>2816664</v>
      </c>
      <c r="C20" s="80" t="s">
        <v>9</v>
      </c>
      <c r="D20" s="71">
        <v>0</v>
      </c>
      <c r="E20" s="80"/>
      <c r="F20" s="80" t="s">
        <v>96</v>
      </c>
      <c r="G20" s="80" t="s">
        <v>46</v>
      </c>
      <c r="H20" s="80" t="s">
        <v>97</v>
      </c>
      <c r="I20" s="80" t="s">
        <v>315</v>
      </c>
      <c r="J20" s="80" t="s">
        <v>316</v>
      </c>
      <c r="K20" s="80" t="s">
        <v>317</v>
      </c>
      <c r="L20" s="80">
        <v>232</v>
      </c>
      <c r="M20" s="80">
        <v>0</v>
      </c>
      <c r="N20" s="80" t="s">
        <v>10</v>
      </c>
      <c r="O20" s="634"/>
      <c r="P20" s="635"/>
      <c r="Q20" s="634"/>
    </row>
    <row r="21" spans="1:17" x14ac:dyDescent="0.25">
      <c r="A21" s="9"/>
      <c r="B21" s="9"/>
      <c r="C21" s="9"/>
      <c r="D21" s="18">
        <f>SUM(D4:D20)</f>
        <v>1027155.4</v>
      </c>
      <c r="E21" s="9"/>
      <c r="F21" s="9"/>
      <c r="G21" s="9"/>
      <c r="H21" s="9"/>
      <c r="I21" s="9"/>
      <c r="J21" s="9"/>
      <c r="K21" s="9"/>
      <c r="L21" s="9">
        <f>SUM(L4:L20)</f>
        <v>10245</v>
      </c>
      <c r="M21" s="9"/>
      <c r="N21" s="9"/>
      <c r="O21" s="24">
        <f>SUM(O4:O20)</f>
        <v>315336.70854999998</v>
      </c>
      <c r="P21" s="64">
        <f>O21/D21*100</f>
        <v>30.700000073017186</v>
      </c>
      <c r="Q21" s="26">
        <f>D21/L21</f>
        <v>100.25918984870668</v>
      </c>
    </row>
    <row r="23" spans="1:17" ht="15" customHeight="1" x14ac:dyDescent="0.25">
      <c r="A23" s="36" t="s">
        <v>322</v>
      </c>
      <c r="B23" s="36" t="s">
        <v>323</v>
      </c>
      <c r="C23" s="36" t="s">
        <v>324</v>
      </c>
      <c r="D23" s="36" t="s">
        <v>325</v>
      </c>
      <c r="F23" s="37" t="s">
        <v>326</v>
      </c>
      <c r="G23" s="37" t="s">
        <v>327</v>
      </c>
      <c r="H23" s="37" t="s">
        <v>328</v>
      </c>
      <c r="I23" s="38"/>
    </row>
    <row r="24" spans="1:17" x14ac:dyDescent="0.25">
      <c r="A24" s="39">
        <f>D21/L21</f>
        <v>100.25918984870668</v>
      </c>
      <c r="B24" s="40">
        <f>COMBUSTIBLE!C210</f>
        <v>3927.87</v>
      </c>
      <c r="C24" s="41">
        <f>B24/L21*100</f>
        <v>38.339385065885793</v>
      </c>
      <c r="D24" s="42">
        <f>B30/B24</f>
        <v>68.177803105375773</v>
      </c>
      <c r="F24" s="43">
        <f>+B30/D21</f>
        <v>0.26071376101757565</v>
      </c>
      <c r="G24" s="43">
        <f>B35/D21</f>
        <v>0.30859710634011678</v>
      </c>
      <c r="H24" s="44"/>
      <c r="I24" s="38"/>
    </row>
    <row r="25" spans="1:17" x14ac:dyDescent="0.25">
      <c r="C25" s="2" t="s">
        <v>1230</v>
      </c>
      <c r="F25" s="38"/>
      <c r="G25" s="38"/>
      <c r="H25" s="38"/>
      <c r="I25" s="38"/>
    </row>
    <row r="26" spans="1:17" x14ac:dyDescent="0.25">
      <c r="A26" s="36"/>
      <c r="B26" s="36" t="s">
        <v>329</v>
      </c>
      <c r="C26" s="36" t="s">
        <v>330</v>
      </c>
      <c r="D26" s="36" t="s">
        <v>317</v>
      </c>
      <c r="K26" s="25"/>
      <c r="L26" s="29"/>
      <c r="M26" s="25"/>
      <c r="O26" s="2"/>
      <c r="P26" s="2"/>
      <c r="Q26" s="2"/>
    </row>
    <row r="27" spans="1:17" x14ac:dyDescent="0.25">
      <c r="A27" s="7" t="s">
        <v>331</v>
      </c>
      <c r="B27" s="24">
        <f>D21</f>
        <v>1027155.4</v>
      </c>
      <c r="C27" s="45">
        <f>B28</f>
        <v>315336.70854999998</v>
      </c>
      <c r="D27" s="46">
        <f>C27/B27</f>
        <v>0.30700000073017186</v>
      </c>
      <c r="K27" s="25"/>
      <c r="L27" s="29"/>
      <c r="M27" s="25"/>
      <c r="O27" s="2"/>
      <c r="P27" s="2"/>
      <c r="Q27" s="2"/>
    </row>
    <row r="28" spans="1:17" x14ac:dyDescent="0.25">
      <c r="A28" s="47" t="s">
        <v>27</v>
      </c>
      <c r="B28" s="24">
        <f>O21</f>
        <v>315336.70854999998</v>
      </c>
      <c r="C28" s="9"/>
    </row>
    <row r="29" spans="1:17" x14ac:dyDescent="0.25">
      <c r="A29" s="48" t="s">
        <v>332</v>
      </c>
      <c r="B29" s="49">
        <f>(10*(78578.313+12454.55))/(150000+80000)*L21</f>
        <v>40549.203540652175</v>
      </c>
      <c r="C29" s="49">
        <f>(12*(78578.313+12454.55))/(150000+80000)*L21</f>
        <v>48659.044248782608</v>
      </c>
    </row>
    <row r="30" spans="1:17" x14ac:dyDescent="0.25">
      <c r="A30" s="48" t="s">
        <v>333</v>
      </c>
      <c r="B30" s="24">
        <f>COMBUSTIBLE!J210</f>
        <v>267793.54748351232</v>
      </c>
      <c r="C30" s="9"/>
    </row>
    <row r="31" spans="1:17" x14ac:dyDescent="0.25">
      <c r="A31" s="48" t="s">
        <v>334</v>
      </c>
      <c r="B31" s="24"/>
      <c r="C31" s="9"/>
    </row>
    <row r="32" spans="1:17" x14ac:dyDescent="0.25">
      <c r="A32" s="48" t="s">
        <v>335</v>
      </c>
      <c r="B32" s="24">
        <f>'PATENTE PROVINCIAL'!N71</f>
        <v>1973.6</v>
      </c>
      <c r="C32" s="42"/>
    </row>
    <row r="33" spans="1:4" x14ac:dyDescent="0.25">
      <c r="A33" s="48" t="s">
        <v>336</v>
      </c>
      <c r="B33" s="24">
        <f>'PATENTE MUNICIPAL'!I78</f>
        <v>2761.3133333333335</v>
      </c>
      <c r="C33" s="42">
        <f>'PATENTE MUNICIPAL'!I52</f>
        <v>20.833333333333332</v>
      </c>
    </row>
    <row r="34" spans="1:4" x14ac:dyDescent="0.25">
      <c r="A34" s="48" t="s">
        <v>337</v>
      </c>
      <c r="B34" s="24">
        <f>SEGURO!K82</f>
        <v>1232.939714737508</v>
      </c>
      <c r="C34" s="42">
        <f>SEGURO!K56</f>
        <v>261.09831688804553</v>
      </c>
    </row>
    <row r="35" spans="1:4" x14ac:dyDescent="0.25">
      <c r="A35" s="48" t="s">
        <v>338</v>
      </c>
      <c r="B35" s="24">
        <f>L21*SUELDOS!Z10</f>
        <v>316977.18420162518</v>
      </c>
      <c r="C35" s="42"/>
      <c r="D35" s="50">
        <f>B35/L21</f>
        <v>30.939695871315294</v>
      </c>
    </row>
    <row r="36" spans="1:4" x14ac:dyDescent="0.25">
      <c r="A36" s="48" t="s">
        <v>339</v>
      </c>
      <c r="B36" s="24">
        <f>'GASTOS TRACTOR'!H437</f>
        <v>38730.340000000011</v>
      </c>
      <c r="C36" s="42"/>
    </row>
    <row r="37" spans="1:4" x14ac:dyDescent="0.25">
      <c r="A37" s="48" t="s">
        <v>340</v>
      </c>
      <c r="B37" s="24">
        <f>SUM(B29:B36)</f>
        <v>670018.12827386044</v>
      </c>
      <c r="C37" s="51">
        <f>SUM(C29:C36)</f>
        <v>48940.975899003992</v>
      </c>
    </row>
    <row r="38" spans="1:4" x14ac:dyDescent="0.25">
      <c r="A38" s="36" t="s">
        <v>341</v>
      </c>
      <c r="B38" s="52">
        <f>B27-B28-B37</f>
        <v>41800.563176139607</v>
      </c>
      <c r="C38" s="53">
        <f>C27-C28-C37</f>
        <v>266395.73265099601</v>
      </c>
      <c r="D38" s="52">
        <f>+B38+C38</f>
        <v>308196.29582713562</v>
      </c>
    </row>
  </sheetData>
  <sortState xmlns:xlrd2="http://schemas.microsoft.com/office/spreadsheetml/2017/richdata2" ref="A2:P19">
    <sortCondition ref="A1"/>
  </sortState>
  <mergeCells count="22">
    <mergeCell ref="Q17:Q20"/>
    <mergeCell ref="P17:P20"/>
    <mergeCell ref="O17:O20"/>
    <mergeCell ref="Q15:Q16"/>
    <mergeCell ref="P15:P16"/>
    <mergeCell ref="O15:O16"/>
    <mergeCell ref="Q13:Q14"/>
    <mergeCell ref="P13:P14"/>
    <mergeCell ref="O13:O14"/>
    <mergeCell ref="Q10:Q12"/>
    <mergeCell ref="P10:P12"/>
    <mergeCell ref="O10:O12"/>
    <mergeCell ref="Q4:Q5"/>
    <mergeCell ref="P4:P5"/>
    <mergeCell ref="O4:O5"/>
    <mergeCell ref="A1:Q2"/>
    <mergeCell ref="Q8:Q9"/>
    <mergeCell ref="P8:P9"/>
    <mergeCell ref="O8:O9"/>
    <mergeCell ref="Q6:Q7"/>
    <mergeCell ref="P6:P7"/>
    <mergeCell ref="O6:O7"/>
  </mergeCells>
  <conditionalFormatting sqref="C24">
    <cfRule type="cellIs" dxfId="15" priority="1" operator="lessThan">
      <formula>29</formula>
    </cfRule>
    <cfRule type="cellIs" dxfId="14" priority="2" operator="greaterThan">
      <formula>38</formula>
    </cfRule>
    <cfRule type="cellIs" dxfId="13" priority="3" operator="lessThan">
      <formula>38</formula>
    </cfRule>
    <cfRule type="cellIs" dxfId="12" priority="4" operator="lessThan">
      <formula>38</formula>
    </cfRule>
    <cfRule type="cellIs" dxfId="11" priority="5" operator="greaterThan">
      <formula>40</formula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Q40"/>
  <sheetViews>
    <sheetView topLeftCell="A22" zoomScaleNormal="100" workbookViewId="0">
      <selection activeCell="B34" sqref="B34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47.42578125" style="2" bestFit="1" customWidth="1"/>
    <col min="8" max="8" width="20.140625" style="2" bestFit="1" customWidth="1"/>
    <col min="9" max="9" width="15.42578125" style="2" bestFit="1" customWidth="1"/>
    <col min="10" max="10" width="7.28515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7" t="s">
        <v>360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44475</v>
      </c>
      <c r="B4" s="11">
        <v>3030173</v>
      </c>
      <c r="C4" s="11" t="s">
        <v>50</v>
      </c>
      <c r="D4" s="66">
        <v>82803.09</v>
      </c>
      <c r="E4" s="11" t="s">
        <v>51</v>
      </c>
      <c r="F4" s="11" t="s">
        <v>46</v>
      </c>
      <c r="G4" s="11" t="s">
        <v>69</v>
      </c>
      <c r="H4" s="11" t="s">
        <v>97</v>
      </c>
      <c r="I4" s="11" t="s">
        <v>318</v>
      </c>
      <c r="J4" s="11" t="s">
        <v>319</v>
      </c>
      <c r="K4" s="11" t="s">
        <v>305</v>
      </c>
      <c r="L4" s="11">
        <v>528</v>
      </c>
      <c r="M4" s="11">
        <v>27120</v>
      </c>
      <c r="N4" s="11" t="s">
        <v>38</v>
      </c>
      <c r="O4" s="637">
        <v>61502.04</v>
      </c>
      <c r="P4" s="631">
        <f>O4/(D4+D6)*100</f>
        <v>30.699998138094394</v>
      </c>
      <c r="Q4" s="630">
        <f>(D4+D6)/(L4+L5+L6+L7)</f>
        <v>115.53194348327567</v>
      </c>
    </row>
    <row r="5" spans="1:17" ht="25.5" customHeight="1" x14ac:dyDescent="0.25">
      <c r="A5" s="10">
        <v>44476</v>
      </c>
      <c r="B5" s="11">
        <v>2816403</v>
      </c>
      <c r="C5" s="11" t="s">
        <v>9</v>
      </c>
      <c r="D5" s="66">
        <v>0</v>
      </c>
      <c r="E5" s="11"/>
      <c r="F5" s="11" t="s">
        <v>69</v>
      </c>
      <c r="G5" s="11" t="s">
        <v>74</v>
      </c>
      <c r="H5" s="11" t="s">
        <v>97</v>
      </c>
      <c r="I5" s="11" t="s">
        <v>318</v>
      </c>
      <c r="J5" s="11" t="s">
        <v>319</v>
      </c>
      <c r="K5" s="11" t="s">
        <v>305</v>
      </c>
      <c r="L5" s="11">
        <v>169</v>
      </c>
      <c r="M5" s="11">
        <v>0</v>
      </c>
      <c r="N5" s="11" t="s">
        <v>10</v>
      </c>
      <c r="O5" s="650"/>
      <c r="P5" s="631"/>
      <c r="Q5" s="630"/>
    </row>
    <row r="6" spans="1:17" ht="25.5" customHeight="1" x14ac:dyDescent="0.25">
      <c r="A6" s="10">
        <v>44477</v>
      </c>
      <c r="B6" s="11">
        <v>3031391</v>
      </c>
      <c r="C6" s="11" t="s">
        <v>50</v>
      </c>
      <c r="D6" s="66">
        <v>117529.3</v>
      </c>
      <c r="E6" s="11" t="s">
        <v>75</v>
      </c>
      <c r="F6" s="11" t="s">
        <v>74</v>
      </c>
      <c r="G6" s="11" t="s">
        <v>96</v>
      </c>
      <c r="H6" s="11" t="s">
        <v>97</v>
      </c>
      <c r="I6" s="11" t="s">
        <v>318</v>
      </c>
      <c r="J6" s="11" t="s">
        <v>319</v>
      </c>
      <c r="K6" s="11" t="s">
        <v>305</v>
      </c>
      <c r="L6" s="11">
        <v>805</v>
      </c>
      <c r="M6" s="11">
        <v>27440</v>
      </c>
      <c r="N6" s="11" t="s">
        <v>38</v>
      </c>
      <c r="O6" s="650"/>
      <c r="P6" s="631"/>
      <c r="Q6" s="630"/>
    </row>
    <row r="7" spans="1:17" ht="25.5" customHeight="1" x14ac:dyDescent="0.25">
      <c r="A7" s="10">
        <v>44479</v>
      </c>
      <c r="B7" s="11">
        <v>2816402</v>
      </c>
      <c r="C7" s="11" t="s">
        <v>9</v>
      </c>
      <c r="D7" s="66">
        <v>0</v>
      </c>
      <c r="E7" s="11"/>
      <c r="F7" s="11" t="s">
        <v>96</v>
      </c>
      <c r="G7" s="11" t="s">
        <v>46</v>
      </c>
      <c r="H7" s="11" t="s">
        <v>97</v>
      </c>
      <c r="I7" s="11" t="s">
        <v>318</v>
      </c>
      <c r="J7" s="11" t="s">
        <v>319</v>
      </c>
      <c r="K7" s="11" t="s">
        <v>305</v>
      </c>
      <c r="L7" s="11">
        <v>232</v>
      </c>
      <c r="M7" s="11">
        <v>0</v>
      </c>
      <c r="N7" s="11" t="s">
        <v>10</v>
      </c>
      <c r="O7" s="638"/>
      <c r="P7" s="631"/>
      <c r="Q7" s="630"/>
    </row>
    <row r="8" spans="1:17" ht="25.5" customHeight="1" x14ac:dyDescent="0.25">
      <c r="A8" s="16">
        <v>44482</v>
      </c>
      <c r="B8" s="17">
        <v>2816509</v>
      </c>
      <c r="C8" s="17" t="s">
        <v>9</v>
      </c>
      <c r="D8" s="70">
        <v>0</v>
      </c>
      <c r="E8" s="17"/>
      <c r="F8" s="17" t="s">
        <v>46</v>
      </c>
      <c r="G8" s="17" t="s">
        <v>171</v>
      </c>
      <c r="H8" s="17" t="s">
        <v>97</v>
      </c>
      <c r="I8" s="17" t="s">
        <v>318</v>
      </c>
      <c r="J8" s="17" t="s">
        <v>319</v>
      </c>
      <c r="K8" s="17" t="s">
        <v>247</v>
      </c>
      <c r="L8" s="17">
        <v>260</v>
      </c>
      <c r="M8" s="17">
        <v>0</v>
      </c>
      <c r="N8" s="17" t="s">
        <v>10</v>
      </c>
      <c r="O8" s="644">
        <v>25542.295620000001</v>
      </c>
      <c r="P8" s="629">
        <f>O8/D9*100</f>
        <v>30.7</v>
      </c>
      <c r="Q8" s="628">
        <f>D9/(L8+L9+L10)</f>
        <v>70.508186440677974</v>
      </c>
    </row>
    <row r="9" spans="1:17" ht="25.5" customHeight="1" x14ac:dyDescent="0.25">
      <c r="A9" s="16">
        <v>44483</v>
      </c>
      <c r="B9" s="17">
        <v>3034464</v>
      </c>
      <c r="C9" s="17" t="s">
        <v>169</v>
      </c>
      <c r="D9" s="70">
        <v>83199.66</v>
      </c>
      <c r="E9" s="17" t="s">
        <v>178</v>
      </c>
      <c r="F9" s="17" t="s">
        <v>171</v>
      </c>
      <c r="G9" s="17" t="s">
        <v>177</v>
      </c>
      <c r="H9" s="17" t="s">
        <v>97</v>
      </c>
      <c r="I9" s="17" t="s">
        <v>318</v>
      </c>
      <c r="J9" s="17" t="s">
        <v>319</v>
      </c>
      <c r="K9" s="17" t="s">
        <v>247</v>
      </c>
      <c r="L9" s="17">
        <v>370</v>
      </c>
      <c r="M9" s="17">
        <v>6760</v>
      </c>
      <c r="N9" s="17" t="s">
        <v>176</v>
      </c>
      <c r="O9" s="656"/>
      <c r="P9" s="629"/>
      <c r="Q9" s="628"/>
    </row>
    <row r="10" spans="1:17" ht="25.5" customHeight="1" x14ac:dyDescent="0.25">
      <c r="A10" s="16">
        <v>44484</v>
      </c>
      <c r="B10" s="17">
        <v>2816508</v>
      </c>
      <c r="C10" s="17" t="s">
        <v>9</v>
      </c>
      <c r="D10" s="70">
        <v>0</v>
      </c>
      <c r="E10" s="17"/>
      <c r="F10" s="17" t="s">
        <v>177</v>
      </c>
      <c r="G10" s="17" t="s">
        <v>46</v>
      </c>
      <c r="H10" s="17" t="s">
        <v>97</v>
      </c>
      <c r="I10" s="17" t="s">
        <v>318</v>
      </c>
      <c r="J10" s="17" t="s">
        <v>319</v>
      </c>
      <c r="K10" s="17" t="s">
        <v>247</v>
      </c>
      <c r="L10" s="17">
        <v>550</v>
      </c>
      <c r="M10" s="17">
        <v>0</v>
      </c>
      <c r="N10" s="17" t="s">
        <v>10</v>
      </c>
      <c r="O10" s="645"/>
      <c r="P10" s="629"/>
      <c r="Q10" s="628"/>
    </row>
    <row r="11" spans="1:17" ht="25.5" customHeight="1" x14ac:dyDescent="0.25">
      <c r="A11" s="12">
        <v>44486</v>
      </c>
      <c r="B11" s="13">
        <v>3034584</v>
      </c>
      <c r="C11" s="13" t="s">
        <v>50</v>
      </c>
      <c r="D11" s="68">
        <v>125172.95</v>
      </c>
      <c r="E11" s="13" t="s">
        <v>68</v>
      </c>
      <c r="F11" s="13" t="s">
        <v>46</v>
      </c>
      <c r="G11" s="13" t="s">
        <v>126</v>
      </c>
      <c r="H11" s="13" t="s">
        <v>97</v>
      </c>
      <c r="I11" s="13" t="s">
        <v>318</v>
      </c>
      <c r="J11" s="13" t="s">
        <v>319</v>
      </c>
      <c r="K11" s="13" t="s">
        <v>289</v>
      </c>
      <c r="L11" s="13">
        <v>671</v>
      </c>
      <c r="M11" s="13">
        <v>34700</v>
      </c>
      <c r="N11" s="13" t="s">
        <v>38</v>
      </c>
      <c r="O11" s="640">
        <v>38428.095650000003</v>
      </c>
      <c r="P11" s="635">
        <f>O11/D11*100</f>
        <v>30.700000000000006</v>
      </c>
      <c r="Q11" s="634">
        <f>D11/(L11+L12)</f>
        <v>93.273435171385984</v>
      </c>
    </row>
    <row r="12" spans="1:17" ht="25.5" customHeight="1" x14ac:dyDescent="0.25">
      <c r="A12" s="12">
        <v>44487</v>
      </c>
      <c r="B12" s="13">
        <v>2816536</v>
      </c>
      <c r="C12" s="13" t="s">
        <v>9</v>
      </c>
      <c r="D12" s="68">
        <v>0</v>
      </c>
      <c r="E12" s="13"/>
      <c r="F12" s="13" t="s">
        <v>126</v>
      </c>
      <c r="G12" s="13" t="s">
        <v>46</v>
      </c>
      <c r="H12" s="13" t="s">
        <v>97</v>
      </c>
      <c r="I12" s="13" t="s">
        <v>318</v>
      </c>
      <c r="J12" s="13" t="s">
        <v>319</v>
      </c>
      <c r="K12" s="13" t="s">
        <v>289</v>
      </c>
      <c r="L12" s="13">
        <v>671</v>
      </c>
      <c r="M12" s="13">
        <v>0</v>
      </c>
      <c r="N12" s="13" t="s">
        <v>10</v>
      </c>
      <c r="O12" s="642"/>
      <c r="P12" s="635"/>
      <c r="Q12" s="634"/>
    </row>
    <row r="13" spans="1:17" ht="25.5" customHeight="1" x14ac:dyDescent="0.25">
      <c r="A13" s="14">
        <v>44489</v>
      </c>
      <c r="B13" s="15">
        <v>3036128</v>
      </c>
      <c r="C13" s="15" t="s">
        <v>50</v>
      </c>
      <c r="D13" s="67">
        <v>124812.22</v>
      </c>
      <c r="E13" s="15" t="s">
        <v>68</v>
      </c>
      <c r="F13" s="15" t="s">
        <v>46</v>
      </c>
      <c r="G13" s="15" t="s">
        <v>126</v>
      </c>
      <c r="H13" s="15" t="s">
        <v>97</v>
      </c>
      <c r="I13" s="15" t="s">
        <v>318</v>
      </c>
      <c r="J13" s="15" t="s">
        <v>319</v>
      </c>
      <c r="K13" s="15" t="s">
        <v>289</v>
      </c>
      <c r="L13" s="15">
        <v>671</v>
      </c>
      <c r="M13" s="15">
        <v>34600</v>
      </c>
      <c r="N13" s="15" t="s">
        <v>38</v>
      </c>
      <c r="O13" s="647">
        <v>38317.351540000003</v>
      </c>
      <c r="P13" s="633">
        <f>O13/D13*100</f>
        <v>30.700000000000006</v>
      </c>
      <c r="Q13" s="632">
        <f>D13/(L13+L14)</f>
        <v>93.004634873323397</v>
      </c>
    </row>
    <row r="14" spans="1:17" ht="25.5" customHeight="1" x14ac:dyDescent="0.25">
      <c r="A14" s="14">
        <v>44490</v>
      </c>
      <c r="B14" s="15">
        <v>2816559</v>
      </c>
      <c r="C14" s="15" t="s">
        <v>9</v>
      </c>
      <c r="D14" s="67">
        <v>0</v>
      </c>
      <c r="E14" s="15"/>
      <c r="F14" s="15" t="s">
        <v>126</v>
      </c>
      <c r="G14" s="15" t="s">
        <v>46</v>
      </c>
      <c r="H14" s="15" t="s">
        <v>97</v>
      </c>
      <c r="I14" s="15" t="s">
        <v>318</v>
      </c>
      <c r="J14" s="15" t="s">
        <v>319</v>
      </c>
      <c r="K14" s="15" t="s">
        <v>289</v>
      </c>
      <c r="L14" s="15">
        <v>671</v>
      </c>
      <c r="M14" s="15">
        <v>0</v>
      </c>
      <c r="N14" s="15" t="s">
        <v>10</v>
      </c>
      <c r="O14" s="648"/>
      <c r="P14" s="633"/>
      <c r="Q14" s="632"/>
    </row>
    <row r="15" spans="1:17" ht="25.5" customHeight="1" x14ac:dyDescent="0.25">
      <c r="A15" s="10">
        <v>44490</v>
      </c>
      <c r="B15" s="11">
        <v>3037749</v>
      </c>
      <c r="C15" s="11" t="s">
        <v>50</v>
      </c>
      <c r="D15" s="66">
        <v>125677.84</v>
      </c>
      <c r="E15" s="11" t="s">
        <v>68</v>
      </c>
      <c r="F15" s="11" t="s">
        <v>46</v>
      </c>
      <c r="G15" s="11" t="s">
        <v>126</v>
      </c>
      <c r="H15" s="11" t="s">
        <v>97</v>
      </c>
      <c r="I15" s="11" t="s">
        <v>318</v>
      </c>
      <c r="J15" s="11" t="s">
        <v>319</v>
      </c>
      <c r="K15" s="11" t="s">
        <v>289</v>
      </c>
      <c r="L15" s="11">
        <v>671</v>
      </c>
      <c r="M15" s="11">
        <v>34840</v>
      </c>
      <c r="N15" s="11" t="s">
        <v>38</v>
      </c>
      <c r="O15" s="637">
        <v>38583.096879999997</v>
      </c>
      <c r="P15" s="631">
        <f>O15/D15*100</f>
        <v>30.7</v>
      </c>
      <c r="Q15" s="630">
        <f>D15/(L15+L16)</f>
        <v>93.649657228017887</v>
      </c>
    </row>
    <row r="16" spans="1:17" ht="25.5" customHeight="1" x14ac:dyDescent="0.25">
      <c r="A16" s="10">
        <v>44492</v>
      </c>
      <c r="B16" s="11">
        <v>2816575</v>
      </c>
      <c r="C16" s="11" t="s">
        <v>9</v>
      </c>
      <c r="D16" s="66">
        <v>0</v>
      </c>
      <c r="E16" s="11"/>
      <c r="F16" s="11" t="s">
        <v>126</v>
      </c>
      <c r="G16" s="11" t="s">
        <v>46</v>
      </c>
      <c r="H16" s="11" t="s">
        <v>97</v>
      </c>
      <c r="I16" s="11" t="s">
        <v>318</v>
      </c>
      <c r="J16" s="11" t="s">
        <v>319</v>
      </c>
      <c r="K16" s="11" t="s">
        <v>289</v>
      </c>
      <c r="L16" s="11">
        <v>671</v>
      </c>
      <c r="M16" s="11">
        <v>0</v>
      </c>
      <c r="N16" s="11" t="s">
        <v>10</v>
      </c>
      <c r="O16" s="638"/>
      <c r="P16" s="631"/>
      <c r="Q16" s="630"/>
    </row>
    <row r="17" spans="1:17" ht="25.5" customHeight="1" x14ac:dyDescent="0.25">
      <c r="A17" s="16">
        <v>44493</v>
      </c>
      <c r="B17" s="17">
        <v>3038388</v>
      </c>
      <c r="C17" s="17" t="s">
        <v>50</v>
      </c>
      <c r="D17" s="70">
        <v>24023.13</v>
      </c>
      <c r="E17" s="17" t="s">
        <v>68</v>
      </c>
      <c r="F17" s="17" t="s">
        <v>46</v>
      </c>
      <c r="G17" s="17" t="s">
        <v>81</v>
      </c>
      <c r="H17" s="17" t="s">
        <v>97</v>
      </c>
      <c r="I17" s="17" t="s">
        <v>318</v>
      </c>
      <c r="J17" s="17" t="s">
        <v>319</v>
      </c>
      <c r="K17" s="17" t="s">
        <v>289</v>
      </c>
      <c r="L17" s="17">
        <v>120</v>
      </c>
      <c r="M17" s="17">
        <v>34600</v>
      </c>
      <c r="N17" s="17" t="s">
        <v>38</v>
      </c>
      <c r="O17" s="644">
        <v>63773.05</v>
      </c>
      <c r="P17" s="629">
        <f>O17/(D17+D19+D21)*100</f>
        <v>30.699997718189909</v>
      </c>
      <c r="Q17" s="628">
        <f>(D17+D19+D21)/(L17+L18+L19+L20+L21)</f>
        <v>107.63203108808291</v>
      </c>
    </row>
    <row r="18" spans="1:17" ht="25.5" customHeight="1" x14ac:dyDescent="0.25">
      <c r="A18" s="16">
        <v>44494</v>
      </c>
      <c r="B18" s="17">
        <v>2816590</v>
      </c>
      <c r="C18" s="17" t="s">
        <v>9</v>
      </c>
      <c r="D18" s="70">
        <v>0</v>
      </c>
      <c r="E18" s="17"/>
      <c r="F18" s="17" t="s">
        <v>81</v>
      </c>
      <c r="G18" s="17" t="s">
        <v>74</v>
      </c>
      <c r="H18" s="17" t="s">
        <v>97</v>
      </c>
      <c r="I18" s="17" t="s">
        <v>318</v>
      </c>
      <c r="J18" s="17" t="s">
        <v>319</v>
      </c>
      <c r="K18" s="17" t="s">
        <v>289</v>
      </c>
      <c r="L18" s="17">
        <v>560</v>
      </c>
      <c r="M18" s="17">
        <v>0</v>
      </c>
      <c r="N18" s="17" t="s">
        <v>10</v>
      </c>
      <c r="O18" s="656"/>
      <c r="P18" s="629"/>
      <c r="Q18" s="628"/>
    </row>
    <row r="19" spans="1:17" ht="25.5" customHeight="1" x14ac:dyDescent="0.25">
      <c r="A19" s="16">
        <v>44495</v>
      </c>
      <c r="B19" s="17">
        <v>3040062</v>
      </c>
      <c r="C19" s="17" t="s">
        <v>50</v>
      </c>
      <c r="D19" s="70">
        <v>56117.06</v>
      </c>
      <c r="E19" s="17" t="s">
        <v>95</v>
      </c>
      <c r="F19" s="17" t="s">
        <v>74</v>
      </c>
      <c r="G19" s="17" t="s">
        <v>222</v>
      </c>
      <c r="H19" s="17" t="s">
        <v>97</v>
      </c>
      <c r="I19" s="17" t="s">
        <v>318</v>
      </c>
      <c r="J19" s="17" t="s">
        <v>319</v>
      </c>
      <c r="K19" s="17" t="s">
        <v>289</v>
      </c>
      <c r="L19" s="17">
        <v>275</v>
      </c>
      <c r="M19" s="17">
        <v>33760</v>
      </c>
      <c r="N19" s="17" t="s">
        <v>38</v>
      </c>
      <c r="O19" s="656"/>
      <c r="P19" s="629"/>
      <c r="Q19" s="628"/>
    </row>
    <row r="20" spans="1:17" ht="25.5" customHeight="1" x14ac:dyDescent="0.25">
      <c r="A20" s="16">
        <v>44496</v>
      </c>
      <c r="B20" s="17">
        <v>2816633</v>
      </c>
      <c r="C20" s="17" t="s">
        <v>9</v>
      </c>
      <c r="D20" s="70">
        <v>0</v>
      </c>
      <c r="E20" s="17"/>
      <c r="F20" s="17" t="s">
        <v>222</v>
      </c>
      <c r="G20" s="17" t="s">
        <v>74</v>
      </c>
      <c r="H20" s="17" t="s">
        <v>97</v>
      </c>
      <c r="I20" s="17" t="s">
        <v>318</v>
      </c>
      <c r="J20" s="17" t="s">
        <v>319</v>
      </c>
      <c r="K20" s="17" t="s">
        <v>289</v>
      </c>
      <c r="L20" s="17">
        <v>275</v>
      </c>
      <c r="M20" s="17">
        <v>0</v>
      </c>
      <c r="N20" s="17" t="s">
        <v>10</v>
      </c>
      <c r="O20" s="656"/>
      <c r="P20" s="629"/>
      <c r="Q20" s="628"/>
    </row>
    <row r="21" spans="1:17" ht="25.5" customHeight="1" x14ac:dyDescent="0.25">
      <c r="A21" s="16">
        <v>44497</v>
      </c>
      <c r="B21" s="17">
        <v>3041280</v>
      </c>
      <c r="C21" s="17" t="s">
        <v>50</v>
      </c>
      <c r="D21" s="70">
        <v>127589.63</v>
      </c>
      <c r="E21" s="17" t="s">
        <v>95</v>
      </c>
      <c r="F21" s="17" t="s">
        <v>74</v>
      </c>
      <c r="G21" s="17" t="s">
        <v>46</v>
      </c>
      <c r="H21" s="17" t="s">
        <v>97</v>
      </c>
      <c r="I21" s="17" t="s">
        <v>318</v>
      </c>
      <c r="J21" s="17" t="s">
        <v>319</v>
      </c>
      <c r="K21" s="17" t="s">
        <v>289</v>
      </c>
      <c r="L21" s="17">
        <v>700</v>
      </c>
      <c r="M21" s="17">
        <v>34360</v>
      </c>
      <c r="N21" s="17" t="s">
        <v>38</v>
      </c>
      <c r="O21" s="645"/>
      <c r="P21" s="629"/>
      <c r="Q21" s="628"/>
    </row>
    <row r="22" spans="1:17" ht="25.5" customHeight="1" x14ac:dyDescent="0.25">
      <c r="A22" s="6">
        <v>44498</v>
      </c>
      <c r="B22" s="7">
        <v>3041862</v>
      </c>
      <c r="C22" s="7" t="s">
        <v>50</v>
      </c>
      <c r="D22" s="8">
        <v>124523.5</v>
      </c>
      <c r="E22" s="7" t="s">
        <v>68</v>
      </c>
      <c r="F22" s="7" t="s">
        <v>46</v>
      </c>
      <c r="G22" s="7" t="s">
        <v>126</v>
      </c>
      <c r="H22" s="7" t="s">
        <v>97</v>
      </c>
      <c r="I22" s="7" t="s">
        <v>318</v>
      </c>
      <c r="J22" s="7" t="s">
        <v>319</v>
      </c>
      <c r="K22" s="7" t="s">
        <v>289</v>
      </c>
      <c r="L22" s="7">
        <v>671</v>
      </c>
      <c r="M22" s="7">
        <v>34640</v>
      </c>
      <c r="N22" s="7" t="s">
        <v>38</v>
      </c>
      <c r="O22" s="8">
        <v>38228.714500000002</v>
      </c>
      <c r="P22" s="64">
        <f>O22/D22*100</f>
        <v>30.7</v>
      </c>
      <c r="Q22" s="24">
        <f>D22/L22</f>
        <v>185.57898658718329</v>
      </c>
    </row>
    <row r="23" spans="1:17" x14ac:dyDescent="0.25">
      <c r="A23" s="9"/>
      <c r="B23" s="9"/>
      <c r="C23" s="9"/>
      <c r="D23" s="18">
        <f>SUM(D4:D22)</f>
        <v>991448.38</v>
      </c>
      <c r="E23" s="9"/>
      <c r="F23" s="9"/>
      <c r="G23" s="9"/>
      <c r="H23" s="9"/>
      <c r="I23" s="9"/>
      <c r="J23" s="9"/>
      <c r="K23" s="9"/>
      <c r="L23" s="9">
        <f>SUM(L4:L22)</f>
        <v>9541</v>
      </c>
      <c r="M23" s="9"/>
      <c r="N23" s="9"/>
      <c r="O23" s="24">
        <f>SUM(O4:O22)</f>
        <v>304374.64419000002</v>
      </c>
      <c r="P23" s="64">
        <f>O23/D23*100</f>
        <v>30.699999145694306</v>
      </c>
      <c r="Q23" s="26">
        <f>D23/L23</f>
        <v>103.91451420186563</v>
      </c>
    </row>
    <row r="25" spans="1:17" ht="15" customHeight="1" x14ac:dyDescent="0.25">
      <c r="A25" s="36" t="s">
        <v>322</v>
      </c>
      <c r="B25" s="36" t="s">
        <v>323</v>
      </c>
      <c r="C25" s="36" t="s">
        <v>324</v>
      </c>
      <c r="D25" s="36" t="s">
        <v>325</v>
      </c>
      <c r="F25" s="37" t="s">
        <v>326</v>
      </c>
      <c r="G25" s="37" t="s">
        <v>327</v>
      </c>
      <c r="H25" s="37" t="s">
        <v>328</v>
      </c>
      <c r="I25" s="38"/>
    </row>
    <row r="26" spans="1:17" x14ac:dyDescent="0.25">
      <c r="A26" s="39">
        <f>D23/L23</f>
        <v>103.91451420186563</v>
      </c>
      <c r="B26" s="40">
        <f>COMBUSTIBLE!C219</f>
        <v>3991.88</v>
      </c>
      <c r="C26" s="41">
        <f>B26/L23*100</f>
        <v>41.839220207525415</v>
      </c>
      <c r="D26" s="42">
        <f>B32/B26</f>
        <v>69.106546922179007</v>
      </c>
      <c r="F26" s="43">
        <f>+B32/D23</f>
        <v>0.2782444836187114</v>
      </c>
      <c r="G26" s="43">
        <f>B37/D23</f>
        <v>0.30293258257331923</v>
      </c>
      <c r="H26" s="44"/>
      <c r="I26" s="38"/>
    </row>
    <row r="27" spans="1:17" x14ac:dyDescent="0.25">
      <c r="C27" s="2" t="s">
        <v>1231</v>
      </c>
      <c r="F27" s="38"/>
      <c r="G27" s="38"/>
      <c r="H27" s="38"/>
      <c r="I27" s="38"/>
    </row>
    <row r="28" spans="1:17" x14ac:dyDescent="0.25">
      <c r="A28" s="36"/>
      <c r="B28" s="36" t="s">
        <v>329</v>
      </c>
      <c r="C28" s="36" t="s">
        <v>330</v>
      </c>
      <c r="D28" s="36" t="s">
        <v>289</v>
      </c>
      <c r="K28" s="25"/>
      <c r="L28" s="29"/>
      <c r="M28" s="25"/>
      <c r="O28" s="2"/>
      <c r="P28" s="2"/>
      <c r="Q28" s="2"/>
    </row>
    <row r="29" spans="1:17" x14ac:dyDescent="0.25">
      <c r="A29" s="7" t="s">
        <v>331</v>
      </c>
      <c r="B29" s="24">
        <f>D23</f>
        <v>991448.38</v>
      </c>
      <c r="C29" s="45">
        <f>B30</f>
        <v>304374.64419000002</v>
      </c>
      <c r="D29" s="46">
        <f>C29/B29</f>
        <v>0.30699999145694307</v>
      </c>
      <c r="K29" s="25"/>
      <c r="L29" s="29"/>
      <c r="M29" s="25"/>
      <c r="O29" s="2"/>
      <c r="P29" s="2"/>
      <c r="Q29" s="2"/>
    </row>
    <row r="30" spans="1:17" x14ac:dyDescent="0.25">
      <c r="A30" s="47" t="s">
        <v>27</v>
      </c>
      <c r="B30" s="24">
        <f>O23</f>
        <v>304374.64419000002</v>
      </c>
      <c r="C30" s="9"/>
    </row>
    <row r="31" spans="1:17" x14ac:dyDescent="0.25">
      <c r="A31" s="48" t="s">
        <v>332</v>
      </c>
      <c r="B31" s="49">
        <f>(10*(78578.313+12454.55))/(150000+80000)*L23</f>
        <v>37762.806342739132</v>
      </c>
      <c r="C31" s="49">
        <f>(12*(78578.313+12454.55))/(150000+80000)*L23</f>
        <v>45315.367611286958</v>
      </c>
    </row>
    <row r="32" spans="1:17" x14ac:dyDescent="0.25">
      <c r="A32" s="48" t="s">
        <v>333</v>
      </c>
      <c r="B32" s="24">
        <f>COMBUSTIBLE!J219</f>
        <v>275865.04252770793</v>
      </c>
      <c r="C32" s="9"/>
    </row>
    <row r="33" spans="1:4" x14ac:dyDescent="0.25">
      <c r="A33" s="48" t="s">
        <v>334</v>
      </c>
      <c r="B33" s="24"/>
      <c r="C33" s="9"/>
    </row>
    <row r="34" spans="1:4" x14ac:dyDescent="0.25">
      <c r="A34" s="48" t="s">
        <v>335</v>
      </c>
      <c r="B34" s="24">
        <f>'PATENTE PROVINCIAL'!N73</f>
        <v>1973.6</v>
      </c>
      <c r="C34" s="42"/>
    </row>
    <row r="35" spans="1:4" x14ac:dyDescent="0.25">
      <c r="A35" s="48" t="s">
        <v>336</v>
      </c>
      <c r="B35" s="24">
        <f>'PATENTE MUNICIPAL'!I80</f>
        <v>2967.23</v>
      </c>
      <c r="C35" s="42">
        <f>'PATENTE MUNICIPAL'!I43</f>
        <v>20.833333333333332</v>
      </c>
    </row>
    <row r="36" spans="1:4" x14ac:dyDescent="0.25">
      <c r="A36" s="48" t="s">
        <v>337</v>
      </c>
      <c r="B36" s="24">
        <f>SEGURO!K84</f>
        <v>1232.939714737508</v>
      </c>
      <c r="C36" s="42">
        <f>SEGURO!K47</f>
        <v>261.09831688804553</v>
      </c>
    </row>
    <row r="37" spans="1:4" x14ac:dyDescent="0.25">
      <c r="A37" s="48" t="s">
        <v>338</v>
      </c>
      <c r="B37" s="24">
        <f>L23*SUELDOS!Z6</f>
        <v>300342.0182415336</v>
      </c>
      <c r="C37" s="42"/>
      <c r="D37" s="50">
        <f>B37/L23</f>
        <v>31.479092154023018</v>
      </c>
    </row>
    <row r="38" spans="1:4" x14ac:dyDescent="0.25">
      <c r="A38" s="48" t="s">
        <v>339</v>
      </c>
      <c r="B38" s="24">
        <f>'GASTOS TRACTOR'!H454</f>
        <v>37701.949800000002</v>
      </c>
      <c r="C38" s="42">
        <f>'GASTOS SEMI'!H125</f>
        <v>1000</v>
      </c>
    </row>
    <row r="39" spans="1:4" x14ac:dyDescent="0.25">
      <c r="A39" s="48" t="s">
        <v>340</v>
      </c>
      <c r="B39" s="24">
        <f>SUM(B31:B38)</f>
        <v>657845.58662671829</v>
      </c>
      <c r="C39" s="51">
        <f>SUM(C31:C38)</f>
        <v>46597.299261508342</v>
      </c>
    </row>
    <row r="40" spans="1:4" x14ac:dyDescent="0.25">
      <c r="A40" s="36" t="s">
        <v>341</v>
      </c>
      <c r="B40" s="52">
        <f>B29-B30-B39</f>
        <v>29228.149183281697</v>
      </c>
      <c r="C40" s="53">
        <f>C29-C30-C39</f>
        <v>257777.34492849169</v>
      </c>
      <c r="D40" s="52">
        <f>+B40+C40</f>
        <v>287005.49411177338</v>
      </c>
    </row>
  </sheetData>
  <sortState xmlns:xlrd2="http://schemas.microsoft.com/office/spreadsheetml/2017/richdata2" ref="A2:P21">
    <sortCondition ref="A1"/>
  </sortState>
  <mergeCells count="19">
    <mergeCell ref="Q17:Q21"/>
    <mergeCell ref="P17:P21"/>
    <mergeCell ref="O17:O21"/>
    <mergeCell ref="P15:P16"/>
    <mergeCell ref="O15:O16"/>
    <mergeCell ref="Q4:Q7"/>
    <mergeCell ref="P4:P7"/>
    <mergeCell ref="O4:O7"/>
    <mergeCell ref="Q15:Q16"/>
    <mergeCell ref="A1:Q2"/>
    <mergeCell ref="Q11:Q12"/>
    <mergeCell ref="P11:P12"/>
    <mergeCell ref="O11:O12"/>
    <mergeCell ref="Q8:Q10"/>
    <mergeCell ref="P8:P10"/>
    <mergeCell ref="O8:O10"/>
    <mergeCell ref="Q13:Q14"/>
    <mergeCell ref="P13:P14"/>
    <mergeCell ref="O13:O14"/>
  </mergeCells>
  <conditionalFormatting sqref="C26">
    <cfRule type="cellIs" dxfId="10" priority="1" operator="lessThan">
      <formula>29</formula>
    </cfRule>
    <cfRule type="cellIs" dxfId="9" priority="2" operator="greaterThan">
      <formula>38</formula>
    </cfRule>
    <cfRule type="cellIs" dxfId="8" priority="3" operator="lessThan">
      <formula>38</formula>
    </cfRule>
    <cfRule type="cellIs" dxfId="7" priority="4" operator="lessThan">
      <formula>38</formula>
    </cfRule>
    <cfRule type="cellIs" dxfId="6" priority="5" operator="greaterThan">
      <formula>40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A1:Q32"/>
  <sheetViews>
    <sheetView tabSelected="1" topLeftCell="A15" zoomScaleNormal="100" workbookViewId="0">
      <selection activeCell="E23" sqref="E23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47.42578125" style="2" bestFit="1" customWidth="1"/>
    <col min="8" max="9" width="25.85546875" style="2" bestFit="1" customWidth="1"/>
    <col min="10" max="10" width="7.28515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7" t="s">
        <v>361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3028252</v>
      </c>
      <c r="C4" s="11" t="s">
        <v>50</v>
      </c>
      <c r="D4" s="66">
        <v>85942.55</v>
      </c>
      <c r="E4" s="11" t="s">
        <v>51</v>
      </c>
      <c r="F4" s="11" t="s">
        <v>46</v>
      </c>
      <c r="G4" s="11" t="s">
        <v>78</v>
      </c>
      <c r="H4" s="11" t="s">
        <v>241</v>
      </c>
      <c r="I4" s="11" t="s">
        <v>241</v>
      </c>
      <c r="J4" s="11" t="s">
        <v>242</v>
      </c>
      <c r="K4" s="11" t="s">
        <v>80</v>
      </c>
      <c r="L4" s="11">
        <v>508</v>
      </c>
      <c r="M4" s="11">
        <v>29400</v>
      </c>
      <c r="N4" s="11" t="s">
        <v>38</v>
      </c>
      <c r="O4" s="637">
        <v>26384.362850000001</v>
      </c>
      <c r="P4" s="636">
        <f>O4/D4*100</f>
        <v>30.7</v>
      </c>
      <c r="Q4" s="630">
        <f>D4/(L4+L5)</f>
        <v>84.589124015748041</v>
      </c>
    </row>
    <row r="5" spans="1:17" ht="25.5" customHeight="1" x14ac:dyDescent="0.25">
      <c r="A5" s="10">
        <v>44473</v>
      </c>
      <c r="B5" s="11">
        <v>2816273</v>
      </c>
      <c r="C5" s="11" t="s">
        <v>9</v>
      </c>
      <c r="D5" s="66">
        <v>0</v>
      </c>
      <c r="E5" s="11"/>
      <c r="F5" s="11" t="s">
        <v>78</v>
      </c>
      <c r="G5" s="11" t="s">
        <v>46</v>
      </c>
      <c r="H5" s="11" t="s">
        <v>241</v>
      </c>
      <c r="I5" s="11" t="s">
        <v>241</v>
      </c>
      <c r="J5" s="11" t="s">
        <v>242</v>
      </c>
      <c r="K5" s="11" t="s">
        <v>80</v>
      </c>
      <c r="L5" s="11">
        <v>508</v>
      </c>
      <c r="M5" s="11">
        <v>0</v>
      </c>
      <c r="N5" s="11" t="s">
        <v>10</v>
      </c>
      <c r="O5" s="638"/>
      <c r="P5" s="636"/>
      <c r="Q5" s="630"/>
    </row>
    <row r="6" spans="1:17" ht="25.5" customHeight="1" x14ac:dyDescent="0.25">
      <c r="A6" s="16">
        <v>44474</v>
      </c>
      <c r="B6" s="17">
        <v>3029540</v>
      </c>
      <c r="C6" s="17" t="s">
        <v>50</v>
      </c>
      <c r="D6" s="70">
        <v>111863.9</v>
      </c>
      <c r="E6" s="17" t="s">
        <v>51</v>
      </c>
      <c r="F6" s="17" t="s">
        <v>46</v>
      </c>
      <c r="G6" s="17" t="s">
        <v>126</v>
      </c>
      <c r="H6" s="17" t="s">
        <v>241</v>
      </c>
      <c r="I6" s="17" t="s">
        <v>241</v>
      </c>
      <c r="J6" s="17" t="s">
        <v>242</v>
      </c>
      <c r="K6" s="17" t="s">
        <v>80</v>
      </c>
      <c r="L6" s="17">
        <v>671</v>
      </c>
      <c r="M6" s="17">
        <v>29460</v>
      </c>
      <c r="N6" s="17" t="s">
        <v>38</v>
      </c>
      <c r="O6" s="644">
        <v>34342.217299999997</v>
      </c>
      <c r="P6" s="643">
        <f>O6/D6*100</f>
        <v>30.7</v>
      </c>
      <c r="Q6" s="628">
        <f>D6/(L6+L7)</f>
        <v>83.356110283159452</v>
      </c>
    </row>
    <row r="7" spans="1:17" ht="25.5" customHeight="1" x14ac:dyDescent="0.25">
      <c r="A7" s="16">
        <v>44475</v>
      </c>
      <c r="B7" s="17">
        <v>2816374</v>
      </c>
      <c r="C7" s="17" t="s">
        <v>9</v>
      </c>
      <c r="D7" s="70">
        <v>0</v>
      </c>
      <c r="E7" s="17"/>
      <c r="F7" s="17" t="s">
        <v>126</v>
      </c>
      <c r="G7" s="17" t="s">
        <v>46</v>
      </c>
      <c r="H7" s="17" t="s">
        <v>241</v>
      </c>
      <c r="I7" s="17" t="s">
        <v>241</v>
      </c>
      <c r="J7" s="17" t="s">
        <v>242</v>
      </c>
      <c r="K7" s="17" t="s">
        <v>80</v>
      </c>
      <c r="L7" s="17">
        <v>671</v>
      </c>
      <c r="M7" s="17">
        <v>0</v>
      </c>
      <c r="N7" s="17" t="s">
        <v>10</v>
      </c>
      <c r="O7" s="645"/>
      <c r="P7" s="643"/>
      <c r="Q7" s="628"/>
    </row>
    <row r="8" spans="1:17" ht="25.5" customHeight="1" x14ac:dyDescent="0.25">
      <c r="A8" s="12">
        <v>44476</v>
      </c>
      <c r="B8" s="13">
        <v>3031270</v>
      </c>
      <c r="C8" s="13" t="s">
        <v>50</v>
      </c>
      <c r="D8" s="68">
        <v>89092.71</v>
      </c>
      <c r="E8" s="13" t="s">
        <v>51</v>
      </c>
      <c r="F8" s="13" t="s">
        <v>46</v>
      </c>
      <c r="G8" s="13" t="s">
        <v>69</v>
      </c>
      <c r="H8" s="13" t="s">
        <v>241</v>
      </c>
      <c r="I8" s="13" t="s">
        <v>241</v>
      </c>
      <c r="J8" s="13" t="s">
        <v>242</v>
      </c>
      <c r="K8" s="13" t="s">
        <v>80</v>
      </c>
      <c r="L8" s="13">
        <v>528</v>
      </c>
      <c r="M8" s="13">
        <v>29360</v>
      </c>
      <c r="N8" s="13" t="s">
        <v>38</v>
      </c>
      <c r="O8" s="640">
        <v>62905.07</v>
      </c>
      <c r="P8" s="639">
        <f>O8/(D8+D10)*100</f>
        <v>30.699999721818926</v>
      </c>
      <c r="Q8" s="634">
        <f>(D8+D10)/(L8+L9+L10)</f>
        <v>146.67323550465284</v>
      </c>
    </row>
    <row r="9" spans="1:17" ht="25.5" customHeight="1" x14ac:dyDescent="0.25">
      <c r="A9" s="12">
        <v>44477</v>
      </c>
      <c r="B9" s="13"/>
      <c r="C9" s="13" t="s">
        <v>9</v>
      </c>
      <c r="D9" s="68">
        <v>0</v>
      </c>
      <c r="E9" s="13"/>
      <c r="F9" s="13" t="s">
        <v>69</v>
      </c>
      <c r="G9" s="13" t="s">
        <v>74</v>
      </c>
      <c r="H9" s="13" t="s">
        <v>241</v>
      </c>
      <c r="I9" s="13" t="s">
        <v>241</v>
      </c>
      <c r="J9" s="13" t="s">
        <v>242</v>
      </c>
      <c r="K9" s="13" t="s">
        <v>80</v>
      </c>
      <c r="L9" s="13">
        <v>169</v>
      </c>
      <c r="M9" s="13">
        <v>0</v>
      </c>
      <c r="N9" s="13" t="s">
        <v>10</v>
      </c>
      <c r="O9" s="641"/>
      <c r="P9" s="639"/>
      <c r="Q9" s="634"/>
    </row>
    <row r="10" spans="1:17" ht="25.5" customHeight="1" x14ac:dyDescent="0.25">
      <c r="A10" s="12">
        <v>44477</v>
      </c>
      <c r="B10" s="13">
        <v>3032065</v>
      </c>
      <c r="C10" s="13" t="s">
        <v>50</v>
      </c>
      <c r="D10" s="68">
        <v>115809.8</v>
      </c>
      <c r="E10" s="13" t="s">
        <v>75</v>
      </c>
      <c r="F10" s="13" t="s">
        <v>74</v>
      </c>
      <c r="G10" s="13" t="s">
        <v>46</v>
      </c>
      <c r="H10" s="13" t="s">
        <v>241</v>
      </c>
      <c r="I10" s="13" t="s">
        <v>241</v>
      </c>
      <c r="J10" s="13" t="s">
        <v>242</v>
      </c>
      <c r="K10" s="13" t="s">
        <v>80</v>
      </c>
      <c r="L10" s="13">
        <v>700</v>
      </c>
      <c r="M10" s="13">
        <v>29680</v>
      </c>
      <c r="N10" s="13" t="s">
        <v>38</v>
      </c>
      <c r="O10" s="642"/>
      <c r="P10" s="639"/>
      <c r="Q10" s="634"/>
    </row>
    <row r="11" spans="1:17" ht="25.5" customHeight="1" x14ac:dyDescent="0.25">
      <c r="A11" s="14">
        <v>44494</v>
      </c>
      <c r="B11" s="15">
        <v>3039529</v>
      </c>
      <c r="C11" s="15" t="s">
        <v>50</v>
      </c>
      <c r="D11" s="67">
        <v>79474.42</v>
      </c>
      <c r="E11" s="15"/>
      <c r="F11" s="15" t="s">
        <v>46</v>
      </c>
      <c r="G11" s="15" t="s">
        <v>52</v>
      </c>
      <c r="H11" s="15" t="s">
        <v>241</v>
      </c>
      <c r="I11" s="15" t="s">
        <v>241</v>
      </c>
      <c r="J11" s="15" t="s">
        <v>242</v>
      </c>
      <c r="K11" s="15" t="s">
        <v>243</v>
      </c>
      <c r="L11" s="15">
        <v>450</v>
      </c>
      <c r="M11" s="15">
        <v>29340</v>
      </c>
      <c r="N11" s="15" t="s">
        <v>38</v>
      </c>
      <c r="O11" s="647">
        <v>24398.646939999999</v>
      </c>
      <c r="P11" s="646">
        <f>O11/D11*100</f>
        <v>30.7</v>
      </c>
      <c r="Q11" s="632">
        <f>D11/(L11+L12)</f>
        <v>88.30491111111111</v>
      </c>
    </row>
    <row r="12" spans="1:17" ht="25.5" customHeight="1" x14ac:dyDescent="0.25">
      <c r="A12" s="14">
        <v>44495</v>
      </c>
      <c r="B12" s="15">
        <v>2816611</v>
      </c>
      <c r="C12" s="15" t="s">
        <v>9</v>
      </c>
      <c r="D12" s="67">
        <v>0</v>
      </c>
      <c r="E12" s="15"/>
      <c r="F12" s="15" t="s">
        <v>52</v>
      </c>
      <c r="G12" s="15" t="s">
        <v>46</v>
      </c>
      <c r="H12" s="15" t="s">
        <v>241</v>
      </c>
      <c r="I12" s="15" t="s">
        <v>241</v>
      </c>
      <c r="J12" s="15" t="s">
        <v>242</v>
      </c>
      <c r="K12" s="15" t="s">
        <v>243</v>
      </c>
      <c r="L12" s="15">
        <v>450</v>
      </c>
      <c r="M12" s="15">
        <v>0</v>
      </c>
      <c r="N12" s="15" t="s">
        <v>10</v>
      </c>
      <c r="O12" s="648"/>
      <c r="P12" s="646"/>
      <c r="Q12" s="632"/>
    </row>
    <row r="13" spans="1:17" ht="25.5" customHeight="1" x14ac:dyDescent="0.25">
      <c r="A13" s="10">
        <v>44496</v>
      </c>
      <c r="B13" s="11">
        <v>3040706</v>
      </c>
      <c r="C13" s="11" t="s">
        <v>50</v>
      </c>
      <c r="D13" s="66">
        <v>110193.16</v>
      </c>
      <c r="E13" s="11" t="s">
        <v>68</v>
      </c>
      <c r="F13" s="11" t="s">
        <v>46</v>
      </c>
      <c r="G13" s="11" t="s">
        <v>126</v>
      </c>
      <c r="H13" s="11" t="s">
        <v>241</v>
      </c>
      <c r="I13" s="11" t="s">
        <v>241</v>
      </c>
      <c r="J13" s="11" t="s">
        <v>242</v>
      </c>
      <c r="K13" s="11" t="s">
        <v>243</v>
      </c>
      <c r="L13" s="11">
        <v>671</v>
      </c>
      <c r="M13" s="11">
        <v>29020</v>
      </c>
      <c r="N13" s="11" t="s">
        <v>38</v>
      </c>
      <c r="O13" s="637">
        <v>33829.30012</v>
      </c>
      <c r="P13" s="636">
        <f>O13/D13*100</f>
        <v>30.7</v>
      </c>
      <c r="Q13" s="630">
        <f>D13/(L13+L14)</f>
        <v>82.111147540983609</v>
      </c>
    </row>
    <row r="14" spans="1:17" ht="25.5" customHeight="1" x14ac:dyDescent="0.25">
      <c r="A14" s="10">
        <v>44497</v>
      </c>
      <c r="B14" s="11">
        <v>2816629</v>
      </c>
      <c r="C14" s="11" t="s">
        <v>9</v>
      </c>
      <c r="D14" s="66">
        <v>0</v>
      </c>
      <c r="E14" s="11"/>
      <c r="F14" s="11" t="s">
        <v>126</v>
      </c>
      <c r="G14" s="11" t="s">
        <v>46</v>
      </c>
      <c r="H14" s="11" t="s">
        <v>241</v>
      </c>
      <c r="I14" s="11" t="s">
        <v>241</v>
      </c>
      <c r="J14" s="11" t="s">
        <v>242</v>
      </c>
      <c r="K14" s="11" t="s">
        <v>243</v>
      </c>
      <c r="L14" s="11">
        <v>671</v>
      </c>
      <c r="M14" s="11">
        <v>0</v>
      </c>
      <c r="N14" s="11" t="s">
        <v>10</v>
      </c>
      <c r="O14" s="638"/>
      <c r="P14" s="636"/>
      <c r="Q14" s="630"/>
    </row>
    <row r="15" spans="1:17" ht="25.5" customHeight="1" x14ac:dyDescent="0.25">
      <c r="A15" s="84">
        <v>44498</v>
      </c>
      <c r="B15" s="61">
        <v>3041651</v>
      </c>
      <c r="C15" s="61" t="s">
        <v>50</v>
      </c>
      <c r="D15" s="69">
        <v>88237.81</v>
      </c>
      <c r="E15" s="61" t="s">
        <v>68</v>
      </c>
      <c r="F15" s="61" t="s">
        <v>46</v>
      </c>
      <c r="G15" s="61" t="s">
        <v>69</v>
      </c>
      <c r="H15" s="61" t="s">
        <v>241</v>
      </c>
      <c r="I15" s="61" t="s">
        <v>241</v>
      </c>
      <c r="J15" s="61" t="s">
        <v>242</v>
      </c>
      <c r="K15" s="61" t="s">
        <v>243</v>
      </c>
      <c r="L15" s="61">
        <v>528</v>
      </c>
      <c r="M15" s="61">
        <v>29200</v>
      </c>
      <c r="N15" s="61" t="s">
        <v>38</v>
      </c>
      <c r="O15" s="644">
        <v>62607.34</v>
      </c>
      <c r="P15" s="643">
        <f>O15/(D15+D17)*100</f>
        <v>30.700000539393628</v>
      </c>
      <c r="Q15" s="628">
        <f>(D15+D17)/(L15+L16+L17)</f>
        <v>145.9790264853257</v>
      </c>
    </row>
    <row r="16" spans="1:17" ht="25.5" customHeight="1" x14ac:dyDescent="0.25">
      <c r="A16" s="84">
        <v>44498</v>
      </c>
      <c r="B16" s="61">
        <v>2816645</v>
      </c>
      <c r="C16" s="61" t="s">
        <v>9</v>
      </c>
      <c r="D16" s="69">
        <v>0</v>
      </c>
      <c r="E16" s="61"/>
      <c r="F16" s="61" t="s">
        <v>69</v>
      </c>
      <c r="G16" s="61" t="s">
        <v>74</v>
      </c>
      <c r="H16" s="61" t="s">
        <v>241</v>
      </c>
      <c r="I16" s="61" t="s">
        <v>241</v>
      </c>
      <c r="J16" s="61" t="s">
        <v>242</v>
      </c>
      <c r="K16" s="61" t="s">
        <v>243</v>
      </c>
      <c r="L16" s="61">
        <v>169</v>
      </c>
      <c r="M16" s="61">
        <v>0</v>
      </c>
      <c r="N16" s="61" t="s">
        <v>10</v>
      </c>
      <c r="O16" s="656"/>
      <c r="P16" s="643"/>
      <c r="Q16" s="628"/>
    </row>
    <row r="17" spans="1:17" ht="25.5" customHeight="1" x14ac:dyDescent="0.25">
      <c r="A17" s="57">
        <v>44498</v>
      </c>
      <c r="B17" s="58">
        <v>3042383</v>
      </c>
      <c r="C17" s="58" t="s">
        <v>50</v>
      </c>
      <c r="D17" s="77">
        <v>115694.89</v>
      </c>
      <c r="E17" s="58" t="s">
        <v>95</v>
      </c>
      <c r="F17" s="58" t="s">
        <v>74</v>
      </c>
      <c r="G17" s="58" t="s">
        <v>46</v>
      </c>
      <c r="H17" s="58" t="s">
        <v>241</v>
      </c>
      <c r="I17" s="58" t="s">
        <v>241</v>
      </c>
      <c r="J17" s="58" t="s">
        <v>242</v>
      </c>
      <c r="K17" s="58" t="s">
        <v>243</v>
      </c>
      <c r="L17" s="58">
        <v>700</v>
      </c>
      <c r="M17" s="58">
        <v>29530</v>
      </c>
      <c r="N17" s="58" t="s">
        <v>38</v>
      </c>
      <c r="O17" s="645"/>
      <c r="P17" s="643"/>
      <c r="Q17" s="628"/>
    </row>
    <row r="18" spans="1:17" x14ac:dyDescent="0.25">
      <c r="A18" s="9"/>
      <c r="B18" s="9"/>
      <c r="C18" s="9"/>
      <c r="D18" s="18">
        <f>SUM(D4:D17)</f>
        <v>796309.24000000011</v>
      </c>
      <c r="E18" s="9"/>
      <c r="F18" s="9"/>
      <c r="G18" s="9"/>
      <c r="H18" s="9"/>
      <c r="I18" s="9"/>
      <c r="J18" s="9"/>
      <c r="K18" s="9"/>
      <c r="L18" s="9">
        <f>SUM(L4:L17)</f>
        <v>7394</v>
      </c>
      <c r="M18" s="9"/>
      <c r="N18" s="9"/>
      <c r="O18" s="24">
        <f>SUM(O4:O17)</f>
        <v>244466.93721</v>
      </c>
      <c r="P18" s="28">
        <f>O18/D18*100</f>
        <v>30.700000066557052</v>
      </c>
      <c r="Q18" s="26">
        <f>D18/L18</f>
        <v>107.69667838788209</v>
      </c>
    </row>
    <row r="20" spans="1:17" x14ac:dyDescent="0.25">
      <c r="A20" s="99" t="s">
        <v>322</v>
      </c>
      <c r="B20" s="100" t="s">
        <v>328</v>
      </c>
      <c r="C20" s="101"/>
      <c r="D20" s="102"/>
    </row>
    <row r="21" spans="1:17" x14ac:dyDescent="0.25">
      <c r="A21" s="103">
        <f>D18/L18</f>
        <v>107.69667838788209</v>
      </c>
      <c r="B21" s="9"/>
      <c r="C21" s="104"/>
      <c r="D21" s="105"/>
    </row>
    <row r="22" spans="1:17" x14ac:dyDescent="0.25">
      <c r="D22" s="25"/>
    </row>
    <row r="23" spans="1:17" x14ac:dyDescent="0.25">
      <c r="A23" s="36"/>
      <c r="B23" s="36" t="s">
        <v>329</v>
      </c>
      <c r="C23" s="36" t="s">
        <v>330</v>
      </c>
      <c r="D23" s="106" t="s">
        <v>80</v>
      </c>
    </row>
    <row r="24" spans="1:17" x14ac:dyDescent="0.25">
      <c r="A24" s="7" t="s">
        <v>331</v>
      </c>
      <c r="B24" s="42">
        <f>D18</f>
        <v>796309.24000000011</v>
      </c>
      <c r="C24" s="45">
        <f>B25</f>
        <v>244466.93721</v>
      </c>
      <c r="D24" s="46">
        <f>C24/B24</f>
        <v>0.30700000066557054</v>
      </c>
    </row>
    <row r="25" spans="1:17" x14ac:dyDescent="0.25">
      <c r="A25" s="47" t="s">
        <v>27</v>
      </c>
      <c r="B25" s="24">
        <f>O18</f>
        <v>244466.93721</v>
      </c>
      <c r="C25" s="9"/>
      <c r="D25" s="25"/>
    </row>
    <row r="26" spans="1:17" x14ac:dyDescent="0.25">
      <c r="A26" s="48" t="s">
        <v>332</v>
      </c>
      <c r="B26" s="107"/>
      <c r="C26" s="49">
        <f>(12*(78578.313+12454.55))/(150000+80000)*L18</f>
        <v>35118.103775060867</v>
      </c>
      <c r="D26" s="25"/>
    </row>
    <row r="27" spans="1:17" x14ac:dyDescent="0.25">
      <c r="A27" s="48" t="s">
        <v>335</v>
      </c>
      <c r="B27" s="107"/>
      <c r="C27" s="42"/>
      <c r="D27" s="25"/>
    </row>
    <row r="28" spans="1:17" x14ac:dyDescent="0.25">
      <c r="A28" s="48" t="s">
        <v>336</v>
      </c>
      <c r="B28" s="107"/>
      <c r="C28" s="42">
        <f>'PATENTE MUNICIPAL'!I34</f>
        <v>20.833333333333332</v>
      </c>
      <c r="D28" s="25"/>
    </row>
    <row r="29" spans="1:17" x14ac:dyDescent="0.25">
      <c r="A29" s="48" t="s">
        <v>337</v>
      </c>
      <c r="B29" s="107"/>
      <c r="C29" s="42">
        <f>SEGURO!K38</f>
        <v>261.09831688804553</v>
      </c>
      <c r="D29" s="25"/>
    </row>
    <row r="30" spans="1:17" x14ac:dyDescent="0.25">
      <c r="A30" s="48" t="s">
        <v>339</v>
      </c>
      <c r="B30" s="107"/>
      <c r="C30" s="42">
        <f>'GASTOS SEMI'!H69</f>
        <v>1198.95</v>
      </c>
      <c r="D30" s="25"/>
    </row>
    <row r="31" spans="1:17" x14ac:dyDescent="0.25">
      <c r="A31" s="48" t="s">
        <v>340</v>
      </c>
      <c r="B31" s="107"/>
      <c r="C31" s="51">
        <f>SUM(C26:C30)</f>
        <v>36598.985425282248</v>
      </c>
      <c r="D31" s="25"/>
    </row>
    <row r="32" spans="1:17" x14ac:dyDescent="0.25">
      <c r="A32" s="36" t="s">
        <v>341</v>
      </c>
      <c r="B32" s="107"/>
      <c r="C32" s="53">
        <f>C24-C25-C31</f>
        <v>207867.95178471776</v>
      </c>
      <c r="D32" s="106">
        <f>+B32+C32</f>
        <v>207867.95178471776</v>
      </c>
    </row>
  </sheetData>
  <sortState xmlns:xlrd2="http://schemas.microsoft.com/office/spreadsheetml/2017/richdata2" ref="A2:P16">
    <sortCondition ref="A1"/>
  </sortState>
  <mergeCells count="19">
    <mergeCell ref="Q15:Q17"/>
    <mergeCell ref="P15:P17"/>
    <mergeCell ref="O15:O17"/>
    <mergeCell ref="Q13:Q14"/>
    <mergeCell ref="P13:P14"/>
    <mergeCell ref="O13:O14"/>
    <mergeCell ref="Q11:Q12"/>
    <mergeCell ref="P11:P12"/>
    <mergeCell ref="O11:O12"/>
    <mergeCell ref="Q8:Q10"/>
    <mergeCell ref="P8:P10"/>
    <mergeCell ref="O8:O10"/>
    <mergeCell ref="A1:Q2"/>
    <mergeCell ref="Q6:Q7"/>
    <mergeCell ref="P6:P7"/>
    <mergeCell ref="O6:O7"/>
    <mergeCell ref="Q4:Q5"/>
    <mergeCell ref="P4:P5"/>
    <mergeCell ref="O4:O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A1:Q31"/>
  <sheetViews>
    <sheetView topLeftCell="A19" zoomScaleNormal="100" workbookViewId="0">
      <selection activeCell="Q4" sqref="Q4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47.42578125" style="2" bestFit="1" customWidth="1"/>
    <col min="8" max="9" width="23.4257812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7" t="s">
        <v>362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s="108" customFormat="1" ht="25.5" customHeight="1" x14ac:dyDescent="0.25">
      <c r="A4" s="81">
        <v>44470</v>
      </c>
      <c r="B4" s="82">
        <v>2816408</v>
      </c>
      <c r="C4" s="82" t="s">
        <v>9</v>
      </c>
      <c r="D4" s="83">
        <v>0</v>
      </c>
      <c r="E4" s="82"/>
      <c r="F4" s="82" t="s">
        <v>126</v>
      </c>
      <c r="G4" s="82" t="s">
        <v>46</v>
      </c>
      <c r="H4" s="82" t="s">
        <v>277</v>
      </c>
      <c r="I4" s="82" t="s">
        <v>277</v>
      </c>
      <c r="J4" s="82" t="s">
        <v>278</v>
      </c>
      <c r="K4" s="82" t="s">
        <v>279</v>
      </c>
      <c r="L4" s="82">
        <v>671</v>
      </c>
      <c r="M4" s="82">
        <v>0</v>
      </c>
      <c r="N4" s="115" t="s">
        <v>10</v>
      </c>
      <c r="O4" s="117">
        <v>0</v>
      </c>
      <c r="P4" s="118">
        <v>0</v>
      </c>
      <c r="Q4" s="117">
        <v>0</v>
      </c>
    </row>
    <row r="5" spans="1:17" ht="25.5" customHeight="1" x14ac:dyDescent="0.25">
      <c r="A5" s="10">
        <v>44470</v>
      </c>
      <c r="B5" s="11">
        <v>3028393</v>
      </c>
      <c r="C5" s="11" t="s">
        <v>50</v>
      </c>
      <c r="D5" s="66">
        <v>109129.96</v>
      </c>
      <c r="E5" s="11" t="s">
        <v>51</v>
      </c>
      <c r="F5" s="11" t="s">
        <v>46</v>
      </c>
      <c r="G5" s="11" t="s">
        <v>126</v>
      </c>
      <c r="H5" s="11" t="s">
        <v>277</v>
      </c>
      <c r="I5" s="11" t="s">
        <v>277</v>
      </c>
      <c r="J5" s="11" t="s">
        <v>278</v>
      </c>
      <c r="K5" s="11" t="s">
        <v>279</v>
      </c>
      <c r="L5" s="11">
        <v>671</v>
      </c>
      <c r="M5" s="11">
        <v>28740</v>
      </c>
      <c r="N5" s="60" t="s">
        <v>38</v>
      </c>
      <c r="O5" s="630">
        <v>33502.897720000001</v>
      </c>
      <c r="P5" s="636">
        <f>O5/D5*100</f>
        <v>30.7</v>
      </c>
      <c r="Q5" s="630">
        <f>D5/(L5+L6)</f>
        <v>81.318897168405371</v>
      </c>
    </row>
    <row r="6" spans="1:17" ht="25.5" customHeight="1" x14ac:dyDescent="0.25">
      <c r="A6" s="10">
        <v>44473</v>
      </c>
      <c r="B6" s="11">
        <v>2816407</v>
      </c>
      <c r="C6" s="11" t="s">
        <v>9</v>
      </c>
      <c r="D6" s="66">
        <v>0</v>
      </c>
      <c r="E6" s="11"/>
      <c r="F6" s="11" t="s">
        <v>126</v>
      </c>
      <c r="G6" s="11" t="s">
        <v>46</v>
      </c>
      <c r="H6" s="11" t="s">
        <v>277</v>
      </c>
      <c r="I6" s="11" t="s">
        <v>277</v>
      </c>
      <c r="J6" s="11" t="s">
        <v>278</v>
      </c>
      <c r="K6" s="11" t="s">
        <v>279</v>
      </c>
      <c r="L6" s="11">
        <v>671</v>
      </c>
      <c r="M6" s="11">
        <v>0</v>
      </c>
      <c r="N6" s="60" t="s">
        <v>10</v>
      </c>
      <c r="O6" s="630"/>
      <c r="P6" s="636"/>
      <c r="Q6" s="630"/>
    </row>
    <row r="7" spans="1:17" ht="25.5" customHeight="1" x14ac:dyDescent="0.25">
      <c r="A7" s="16">
        <v>44475</v>
      </c>
      <c r="B7" s="17">
        <v>3030700</v>
      </c>
      <c r="C7" s="17" t="s">
        <v>50</v>
      </c>
      <c r="D7" s="70">
        <v>31977.79</v>
      </c>
      <c r="E7" s="17" t="s">
        <v>51</v>
      </c>
      <c r="F7" s="17" t="s">
        <v>46</v>
      </c>
      <c r="G7" s="17" t="s">
        <v>280</v>
      </c>
      <c r="H7" s="17" t="s">
        <v>277</v>
      </c>
      <c r="I7" s="17" t="s">
        <v>277</v>
      </c>
      <c r="J7" s="17" t="s">
        <v>278</v>
      </c>
      <c r="K7" s="17" t="s">
        <v>279</v>
      </c>
      <c r="L7" s="17">
        <v>210</v>
      </c>
      <c r="M7" s="17">
        <v>27900</v>
      </c>
      <c r="N7" s="61" t="s">
        <v>38</v>
      </c>
      <c r="O7" s="628">
        <v>9817.1815299999998</v>
      </c>
      <c r="P7" s="643">
        <f>O7/D7*100</f>
        <v>30.7</v>
      </c>
      <c r="Q7" s="628">
        <f>D7/(L7+L8)</f>
        <v>76.137595238095244</v>
      </c>
    </row>
    <row r="8" spans="1:17" ht="25.5" customHeight="1" x14ac:dyDescent="0.25">
      <c r="A8" s="16">
        <v>44476</v>
      </c>
      <c r="B8" s="17">
        <v>2816406</v>
      </c>
      <c r="C8" s="17" t="s">
        <v>9</v>
      </c>
      <c r="D8" s="70">
        <v>0</v>
      </c>
      <c r="E8" s="17"/>
      <c r="F8" s="17" t="s">
        <v>280</v>
      </c>
      <c r="G8" s="17" t="s">
        <v>46</v>
      </c>
      <c r="H8" s="17" t="s">
        <v>277</v>
      </c>
      <c r="I8" s="17" t="s">
        <v>277</v>
      </c>
      <c r="J8" s="17" t="s">
        <v>278</v>
      </c>
      <c r="K8" s="17" t="s">
        <v>279</v>
      </c>
      <c r="L8" s="17">
        <v>210</v>
      </c>
      <c r="M8" s="17">
        <v>0</v>
      </c>
      <c r="N8" s="61" t="s">
        <v>10</v>
      </c>
      <c r="O8" s="628"/>
      <c r="P8" s="643"/>
      <c r="Q8" s="628"/>
    </row>
    <row r="9" spans="1:17" ht="25.5" customHeight="1" x14ac:dyDescent="0.25">
      <c r="A9" s="12">
        <v>44487</v>
      </c>
      <c r="B9" s="13">
        <v>3035452</v>
      </c>
      <c r="C9" s="13" t="s">
        <v>50</v>
      </c>
      <c r="D9" s="68">
        <v>101245.95</v>
      </c>
      <c r="E9" s="13" t="s">
        <v>68</v>
      </c>
      <c r="F9" s="13" t="s">
        <v>46</v>
      </c>
      <c r="G9" s="13" t="s">
        <v>94</v>
      </c>
      <c r="H9" s="13" t="s">
        <v>277</v>
      </c>
      <c r="I9" s="13" t="s">
        <v>277</v>
      </c>
      <c r="J9" s="13" t="s">
        <v>278</v>
      </c>
      <c r="K9" s="13" t="s">
        <v>279</v>
      </c>
      <c r="L9" s="13">
        <v>690</v>
      </c>
      <c r="M9" s="13">
        <v>28340</v>
      </c>
      <c r="N9" s="62" t="s">
        <v>38</v>
      </c>
      <c r="O9" s="634">
        <v>31082.506649999999</v>
      </c>
      <c r="P9" s="639">
        <f>O9/D9*100</f>
        <v>30.7</v>
      </c>
      <c r="Q9" s="634">
        <f>D9/(L9+L10)</f>
        <v>73.366630434782607</v>
      </c>
    </row>
    <row r="10" spans="1:17" ht="25.5" customHeight="1" x14ac:dyDescent="0.25">
      <c r="A10" s="12">
        <v>44488</v>
      </c>
      <c r="B10" s="13">
        <v>2816564</v>
      </c>
      <c r="C10" s="13" t="s">
        <v>9</v>
      </c>
      <c r="D10" s="68">
        <v>0</v>
      </c>
      <c r="E10" s="13"/>
      <c r="F10" s="13" t="s">
        <v>94</v>
      </c>
      <c r="G10" s="13" t="s">
        <v>46</v>
      </c>
      <c r="H10" s="13" t="s">
        <v>277</v>
      </c>
      <c r="I10" s="13" t="s">
        <v>277</v>
      </c>
      <c r="J10" s="13" t="s">
        <v>278</v>
      </c>
      <c r="K10" s="13" t="s">
        <v>279</v>
      </c>
      <c r="L10" s="13">
        <v>690</v>
      </c>
      <c r="M10" s="13">
        <v>0</v>
      </c>
      <c r="N10" s="62" t="s">
        <v>10</v>
      </c>
      <c r="O10" s="634"/>
      <c r="P10" s="639"/>
      <c r="Q10" s="634"/>
    </row>
    <row r="11" spans="1:17" ht="25.5" customHeight="1" x14ac:dyDescent="0.25">
      <c r="A11" s="14">
        <v>44489</v>
      </c>
      <c r="B11" s="15">
        <v>3036789</v>
      </c>
      <c r="C11" s="15" t="s">
        <v>50</v>
      </c>
      <c r="D11" s="67">
        <v>94138.74</v>
      </c>
      <c r="E11" s="15" t="s">
        <v>68</v>
      </c>
      <c r="F11" s="15" t="s">
        <v>46</v>
      </c>
      <c r="G11" s="15" t="s">
        <v>226</v>
      </c>
      <c r="H11" s="15" t="s">
        <v>277</v>
      </c>
      <c r="I11" s="15" t="s">
        <v>277</v>
      </c>
      <c r="J11" s="15" t="s">
        <v>278</v>
      </c>
      <c r="K11" s="15" t="s">
        <v>279</v>
      </c>
      <c r="L11" s="15">
        <v>640</v>
      </c>
      <c r="M11" s="15">
        <v>28580</v>
      </c>
      <c r="N11" s="63" t="s">
        <v>38</v>
      </c>
      <c r="O11" s="632">
        <v>28900.59318</v>
      </c>
      <c r="P11" s="646">
        <f>O11/D11*100</f>
        <v>30.7</v>
      </c>
      <c r="Q11" s="632">
        <f>D11/(L11+L12)</f>
        <v>73.545890624999998</v>
      </c>
    </row>
    <row r="12" spans="1:17" ht="25.5" customHeight="1" x14ac:dyDescent="0.25">
      <c r="A12" s="14">
        <v>44490</v>
      </c>
      <c r="B12" s="15">
        <v>2816563</v>
      </c>
      <c r="C12" s="15" t="s">
        <v>9</v>
      </c>
      <c r="D12" s="67">
        <v>0</v>
      </c>
      <c r="E12" s="15"/>
      <c r="F12" s="15" t="s">
        <v>226</v>
      </c>
      <c r="G12" s="15" t="s">
        <v>46</v>
      </c>
      <c r="H12" s="15" t="s">
        <v>277</v>
      </c>
      <c r="I12" s="15" t="s">
        <v>277</v>
      </c>
      <c r="J12" s="15" t="s">
        <v>278</v>
      </c>
      <c r="K12" s="15" t="s">
        <v>279</v>
      </c>
      <c r="L12" s="15">
        <v>640</v>
      </c>
      <c r="M12" s="15">
        <v>0</v>
      </c>
      <c r="N12" s="63" t="s">
        <v>10</v>
      </c>
      <c r="O12" s="632"/>
      <c r="P12" s="646"/>
      <c r="Q12" s="632"/>
    </row>
    <row r="13" spans="1:17" ht="25.5" customHeight="1" x14ac:dyDescent="0.25">
      <c r="A13" s="109">
        <v>44491</v>
      </c>
      <c r="B13" s="110">
        <v>3037863</v>
      </c>
      <c r="C13" s="110" t="s">
        <v>50</v>
      </c>
      <c r="D13" s="111">
        <v>86100.56</v>
      </c>
      <c r="E13" s="110" t="s">
        <v>68</v>
      </c>
      <c r="F13" s="110" t="s">
        <v>46</v>
      </c>
      <c r="G13" s="110" t="s">
        <v>69</v>
      </c>
      <c r="H13" s="110" t="s">
        <v>277</v>
      </c>
      <c r="I13" s="110" t="s">
        <v>277</v>
      </c>
      <c r="J13" s="110" t="s">
        <v>278</v>
      </c>
      <c r="K13" s="110" t="s">
        <v>279</v>
      </c>
      <c r="L13" s="110">
        <v>528</v>
      </c>
      <c r="M13" s="110">
        <v>28560</v>
      </c>
      <c r="N13" s="116" t="s">
        <v>38</v>
      </c>
      <c r="O13" s="667">
        <v>60183.1</v>
      </c>
      <c r="P13" s="636">
        <f>O13/(D13+D15)*100</f>
        <v>30.699999428676833</v>
      </c>
      <c r="Q13" s="630">
        <f>(D13+D15)/(L13+L14+L15+L16)</f>
        <v>140.32652827487473</v>
      </c>
    </row>
    <row r="14" spans="1:17" ht="25.5" customHeight="1" x14ac:dyDescent="0.25">
      <c r="A14" s="109">
        <v>44492</v>
      </c>
      <c r="B14" s="110">
        <v>2816654</v>
      </c>
      <c r="C14" s="110" t="s">
        <v>9</v>
      </c>
      <c r="D14" s="111">
        <v>0</v>
      </c>
      <c r="E14" s="110"/>
      <c r="F14" s="110" t="s">
        <v>69</v>
      </c>
      <c r="G14" s="110" t="s">
        <v>74</v>
      </c>
      <c r="H14" s="110" t="s">
        <v>277</v>
      </c>
      <c r="I14" s="110" t="s">
        <v>277</v>
      </c>
      <c r="J14" s="110" t="s">
        <v>278</v>
      </c>
      <c r="K14" s="110" t="s">
        <v>279</v>
      </c>
      <c r="L14" s="110">
        <v>169</v>
      </c>
      <c r="M14" s="110">
        <v>0</v>
      </c>
      <c r="N14" s="116" t="s">
        <v>10</v>
      </c>
      <c r="O14" s="667"/>
      <c r="P14" s="636"/>
      <c r="Q14" s="630"/>
    </row>
    <row r="15" spans="1:17" ht="25.5" customHeight="1" x14ac:dyDescent="0.25">
      <c r="A15" s="109">
        <v>44494</v>
      </c>
      <c r="B15" s="110">
        <v>3038750</v>
      </c>
      <c r="C15" s="110" t="s">
        <v>50</v>
      </c>
      <c r="D15" s="111">
        <v>109935.6</v>
      </c>
      <c r="E15" s="110" t="s">
        <v>95</v>
      </c>
      <c r="F15" s="110" t="s">
        <v>74</v>
      </c>
      <c r="G15" s="110" t="s">
        <v>281</v>
      </c>
      <c r="H15" s="110" t="s">
        <v>277</v>
      </c>
      <c r="I15" s="110" t="s">
        <v>277</v>
      </c>
      <c r="J15" s="110" t="s">
        <v>278</v>
      </c>
      <c r="K15" s="110" t="s">
        <v>279</v>
      </c>
      <c r="L15" s="110">
        <v>640</v>
      </c>
      <c r="M15" s="110">
        <v>28060</v>
      </c>
      <c r="N15" s="116" t="s">
        <v>38</v>
      </c>
      <c r="O15" s="667"/>
      <c r="P15" s="636"/>
      <c r="Q15" s="630"/>
    </row>
    <row r="16" spans="1:17" ht="25.5" customHeight="1" x14ac:dyDescent="0.25">
      <c r="A16" s="112">
        <v>44498</v>
      </c>
      <c r="B16" s="113">
        <v>2816653</v>
      </c>
      <c r="C16" s="113" t="s">
        <v>9</v>
      </c>
      <c r="D16" s="114">
        <v>0</v>
      </c>
      <c r="E16" s="113"/>
      <c r="F16" s="113" t="s">
        <v>281</v>
      </c>
      <c r="G16" s="113" t="s">
        <v>46</v>
      </c>
      <c r="H16" s="113" t="s">
        <v>277</v>
      </c>
      <c r="I16" s="113" t="s">
        <v>277</v>
      </c>
      <c r="J16" s="113" t="s">
        <v>278</v>
      </c>
      <c r="K16" s="113" t="s">
        <v>279</v>
      </c>
      <c r="L16" s="113">
        <v>60</v>
      </c>
      <c r="M16" s="113">
        <v>0</v>
      </c>
      <c r="N16" s="116" t="s">
        <v>10</v>
      </c>
      <c r="O16" s="667"/>
      <c r="P16" s="636"/>
      <c r="Q16" s="630"/>
    </row>
    <row r="17" spans="1:17" x14ac:dyDescent="0.25">
      <c r="A17" s="9"/>
      <c r="B17" s="9"/>
      <c r="C17" s="9"/>
      <c r="D17" s="18">
        <f>SUM(D4:D16)</f>
        <v>532528.6</v>
      </c>
      <c r="E17" s="9"/>
      <c r="F17" s="9"/>
      <c r="G17" s="9"/>
      <c r="H17" s="9"/>
      <c r="I17" s="9"/>
      <c r="J17" s="9"/>
      <c r="K17" s="9"/>
      <c r="L17" s="9">
        <f>SUM(L4:L16)</f>
        <v>6490</v>
      </c>
      <c r="M17" s="9"/>
      <c r="N17" s="9"/>
      <c r="O17" s="24">
        <f>SUM(O4:O16)</f>
        <v>163486.27908000001</v>
      </c>
      <c r="P17" s="28">
        <f>O17/D17*100</f>
        <v>30.699999789682657</v>
      </c>
      <c r="Q17" s="26">
        <f>D17/L17</f>
        <v>82.053713405238824</v>
      </c>
    </row>
    <row r="19" spans="1:17" x14ac:dyDescent="0.25">
      <c r="A19" s="99" t="s">
        <v>322</v>
      </c>
      <c r="B19" s="100" t="s">
        <v>328</v>
      </c>
      <c r="C19" s="101"/>
      <c r="D19" s="102"/>
    </row>
    <row r="20" spans="1:17" x14ac:dyDescent="0.25">
      <c r="A20" s="103">
        <f>D17/L17</f>
        <v>82.053713405238824</v>
      </c>
      <c r="B20" s="9"/>
      <c r="C20" s="104"/>
      <c r="D20" s="105"/>
    </row>
    <row r="21" spans="1:17" x14ac:dyDescent="0.25">
      <c r="D21" s="25"/>
    </row>
    <row r="22" spans="1:17" x14ac:dyDescent="0.25">
      <c r="A22" s="36"/>
      <c r="B22" s="36" t="s">
        <v>329</v>
      </c>
      <c r="C22" s="36" t="s">
        <v>330</v>
      </c>
      <c r="D22" s="106" t="s">
        <v>279</v>
      </c>
    </row>
    <row r="23" spans="1:17" x14ac:dyDescent="0.25">
      <c r="A23" s="7" t="s">
        <v>331</v>
      </c>
      <c r="B23" s="42">
        <f>D17</f>
        <v>532528.6</v>
      </c>
      <c r="C23" s="45">
        <f>B24</f>
        <v>163486.27908000001</v>
      </c>
      <c r="D23" s="46">
        <f>C23/B23</f>
        <v>0.30699999789682658</v>
      </c>
    </row>
    <row r="24" spans="1:17" x14ac:dyDescent="0.25">
      <c r="A24" s="47" t="s">
        <v>27</v>
      </c>
      <c r="B24" s="24">
        <f>O17</f>
        <v>163486.27908000001</v>
      </c>
      <c r="C24" s="9"/>
      <c r="D24" s="25"/>
    </row>
    <row r="25" spans="1:17" x14ac:dyDescent="0.25">
      <c r="A25" s="48" t="s">
        <v>332</v>
      </c>
      <c r="B25" s="107"/>
      <c r="C25" s="49">
        <f>(12*(78578.313+12454.55))/(150000+80000)*L17</f>
        <v>30824.519001913042</v>
      </c>
      <c r="D25" s="25"/>
    </row>
    <row r="26" spans="1:17" x14ac:dyDescent="0.25">
      <c r="A26" s="48" t="s">
        <v>335</v>
      </c>
      <c r="B26" s="107"/>
      <c r="C26" s="42"/>
      <c r="D26" s="25"/>
    </row>
    <row r="27" spans="1:17" x14ac:dyDescent="0.25">
      <c r="A27" s="48" t="s">
        <v>336</v>
      </c>
      <c r="B27" s="107"/>
      <c r="C27" s="42">
        <f>'PATENTE MUNICIPAL'!I27</f>
        <v>20.833333333333332</v>
      </c>
      <c r="D27" s="25"/>
    </row>
    <row r="28" spans="1:17" x14ac:dyDescent="0.25">
      <c r="A28" s="48" t="s">
        <v>337</v>
      </c>
      <c r="B28" s="107"/>
      <c r="C28" s="42">
        <f>SEGURO!K31</f>
        <v>261.09831688804553</v>
      </c>
      <c r="D28" s="25"/>
    </row>
    <row r="29" spans="1:17" x14ac:dyDescent="0.25">
      <c r="A29" s="48" t="s">
        <v>339</v>
      </c>
      <c r="B29" s="107"/>
      <c r="C29" s="42"/>
      <c r="D29" s="25"/>
    </row>
    <row r="30" spans="1:17" x14ac:dyDescent="0.25">
      <c r="A30" s="48" t="s">
        <v>340</v>
      </c>
      <c r="B30" s="107"/>
      <c r="C30" s="51">
        <f>SUM(C25:C29)</f>
        <v>31106.450652134419</v>
      </c>
      <c r="D30" s="25"/>
    </row>
    <row r="31" spans="1:17" x14ac:dyDescent="0.25">
      <c r="A31" s="36" t="s">
        <v>341</v>
      </c>
      <c r="B31" s="107"/>
      <c r="C31" s="53">
        <f>C23-C24-C30</f>
        <v>132379.82842786558</v>
      </c>
      <c r="D31" s="106">
        <f>+B31+C31</f>
        <v>132379.82842786558</v>
      </c>
    </row>
  </sheetData>
  <sortState xmlns:xlrd2="http://schemas.microsoft.com/office/spreadsheetml/2017/richdata2" ref="A2:P15">
    <sortCondition ref="A1"/>
  </sortState>
  <mergeCells count="16">
    <mergeCell ref="Q13:Q16"/>
    <mergeCell ref="P13:P16"/>
    <mergeCell ref="O13:O16"/>
    <mergeCell ref="Q11:Q12"/>
    <mergeCell ref="P11:P12"/>
    <mergeCell ref="O11:O12"/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Q39"/>
  <sheetViews>
    <sheetView topLeftCell="A21" zoomScaleNormal="100" workbookViewId="0">
      <selection activeCell="P10" sqref="P10:P15"/>
    </sheetView>
  </sheetViews>
  <sheetFormatPr baseColWidth="10" defaultRowHeight="15" x14ac:dyDescent="0.25"/>
  <cols>
    <col min="1" max="1" width="14.42578125" style="2" bestFit="1" customWidth="1"/>
    <col min="2" max="3" width="14" style="2" bestFit="1" customWidth="1"/>
    <col min="4" max="4" width="14.5703125" style="2" bestFit="1" customWidth="1"/>
    <col min="5" max="5" width="41" style="2" bestFit="1" customWidth="1"/>
    <col min="6" max="7" width="47.42578125" style="2" bestFit="1" customWidth="1"/>
    <col min="8" max="8" width="24.28515625" style="2" bestFit="1" customWidth="1"/>
    <col min="9" max="9" width="20.5703125" style="2" bestFit="1" customWidth="1"/>
    <col min="10" max="10" width="7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7" t="s">
        <v>363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2816392</v>
      </c>
      <c r="C4" s="11" t="s">
        <v>9</v>
      </c>
      <c r="D4" s="119">
        <v>0</v>
      </c>
      <c r="E4" s="11"/>
      <c r="F4" s="11" t="s">
        <v>250</v>
      </c>
      <c r="G4" s="11" t="s">
        <v>74</v>
      </c>
      <c r="H4" s="11" t="s">
        <v>180</v>
      </c>
      <c r="I4" s="11" t="s">
        <v>251</v>
      </c>
      <c r="J4" s="11" t="s">
        <v>252</v>
      </c>
      <c r="K4" s="11" t="s">
        <v>253</v>
      </c>
      <c r="L4" s="11">
        <v>300</v>
      </c>
      <c r="M4" s="11">
        <v>0</v>
      </c>
      <c r="N4" s="11" t="s">
        <v>10</v>
      </c>
      <c r="O4" s="637">
        <v>32271.039344000001</v>
      </c>
      <c r="P4" s="669">
        <f>O4/D5*100</f>
        <v>28.64</v>
      </c>
      <c r="Q4" s="630">
        <f>D5/(L4+L5)</f>
        <v>112.67821000000001</v>
      </c>
    </row>
    <row r="5" spans="1:17" ht="25.5" customHeight="1" x14ac:dyDescent="0.25">
      <c r="A5" s="10">
        <v>44472</v>
      </c>
      <c r="B5" s="11">
        <v>3026831</v>
      </c>
      <c r="C5" s="11" t="s">
        <v>50</v>
      </c>
      <c r="D5" s="119">
        <v>112678.21</v>
      </c>
      <c r="E5" s="11" t="s">
        <v>75</v>
      </c>
      <c r="F5" s="11" t="s">
        <v>74</v>
      </c>
      <c r="G5" s="11" t="s">
        <v>46</v>
      </c>
      <c r="H5" s="11" t="s">
        <v>180</v>
      </c>
      <c r="I5" s="11" t="s">
        <v>251</v>
      </c>
      <c r="J5" s="11" t="s">
        <v>252</v>
      </c>
      <c r="K5" s="11" t="s">
        <v>253</v>
      </c>
      <c r="L5" s="11">
        <v>700</v>
      </c>
      <c r="M5" s="11">
        <v>28990</v>
      </c>
      <c r="N5" s="11" t="s">
        <v>38</v>
      </c>
      <c r="O5" s="638"/>
      <c r="P5" s="669"/>
      <c r="Q5" s="630"/>
    </row>
    <row r="6" spans="1:17" ht="25.5" customHeight="1" x14ac:dyDescent="0.25">
      <c r="A6" s="16">
        <v>44475</v>
      </c>
      <c r="B6" s="17">
        <v>3029873</v>
      </c>
      <c r="C6" s="17" t="s">
        <v>50</v>
      </c>
      <c r="D6" s="122">
        <v>103449.63</v>
      </c>
      <c r="E6" s="17" t="s">
        <v>51</v>
      </c>
      <c r="F6" s="17" t="s">
        <v>46</v>
      </c>
      <c r="G6" s="17" t="s">
        <v>45</v>
      </c>
      <c r="H6" s="17" t="s">
        <v>180</v>
      </c>
      <c r="I6" s="17" t="s">
        <v>251</v>
      </c>
      <c r="J6" s="17" t="s">
        <v>252</v>
      </c>
      <c r="K6" s="17" t="s">
        <v>253</v>
      </c>
      <c r="L6" s="17">
        <v>648</v>
      </c>
      <c r="M6" s="17">
        <v>29040</v>
      </c>
      <c r="N6" s="17" t="s">
        <v>38</v>
      </c>
      <c r="O6" s="644">
        <v>29627.974031999998</v>
      </c>
      <c r="P6" s="668">
        <f>O6/D6*100</f>
        <v>28.64</v>
      </c>
      <c r="Q6" s="628">
        <f>D6/(L6+L7)</f>
        <v>79.822245370370368</v>
      </c>
    </row>
    <row r="7" spans="1:17" ht="25.5" customHeight="1" x14ac:dyDescent="0.25">
      <c r="A7" s="16">
        <v>44477</v>
      </c>
      <c r="B7" s="17">
        <v>2816391</v>
      </c>
      <c r="C7" s="17" t="s">
        <v>9</v>
      </c>
      <c r="D7" s="122">
        <v>0</v>
      </c>
      <c r="E7" s="17"/>
      <c r="F7" s="17" t="s">
        <v>45</v>
      </c>
      <c r="G7" s="17" t="s">
        <v>46</v>
      </c>
      <c r="H7" s="17" t="s">
        <v>180</v>
      </c>
      <c r="I7" s="17" t="s">
        <v>251</v>
      </c>
      <c r="J7" s="17" t="s">
        <v>252</v>
      </c>
      <c r="K7" s="17" t="s">
        <v>253</v>
      </c>
      <c r="L7" s="17">
        <v>648</v>
      </c>
      <c r="M7" s="17">
        <v>0</v>
      </c>
      <c r="N7" s="17" t="s">
        <v>10</v>
      </c>
      <c r="O7" s="645"/>
      <c r="P7" s="668"/>
      <c r="Q7" s="628"/>
    </row>
    <row r="8" spans="1:17" ht="25.5" customHeight="1" x14ac:dyDescent="0.25">
      <c r="A8" s="12">
        <v>44477</v>
      </c>
      <c r="B8" s="13">
        <v>3031552</v>
      </c>
      <c r="C8" s="13" t="s">
        <v>50</v>
      </c>
      <c r="D8" s="121">
        <v>103675.3</v>
      </c>
      <c r="E8" s="13" t="s">
        <v>68</v>
      </c>
      <c r="F8" s="13" t="s">
        <v>46</v>
      </c>
      <c r="G8" s="13" t="s">
        <v>94</v>
      </c>
      <c r="H8" s="13" t="s">
        <v>180</v>
      </c>
      <c r="I8" s="13" t="s">
        <v>251</v>
      </c>
      <c r="J8" s="13" t="s">
        <v>252</v>
      </c>
      <c r="K8" s="13" t="s">
        <v>253</v>
      </c>
      <c r="L8" s="13">
        <v>690</v>
      </c>
      <c r="M8" s="13">
        <v>29020</v>
      </c>
      <c r="N8" s="13" t="s">
        <v>38</v>
      </c>
      <c r="O8" s="640">
        <v>29692.605920000002</v>
      </c>
      <c r="P8" s="671">
        <f>O8/D8*100</f>
        <v>28.64</v>
      </c>
      <c r="Q8" s="634">
        <f>D8/(L8+L9)</f>
        <v>75.127028985507252</v>
      </c>
    </row>
    <row r="9" spans="1:17" ht="25.5" customHeight="1" x14ac:dyDescent="0.25">
      <c r="A9" s="12">
        <v>44481</v>
      </c>
      <c r="B9" s="13">
        <v>2816547</v>
      </c>
      <c r="C9" s="13" t="s">
        <v>9</v>
      </c>
      <c r="D9" s="121">
        <v>0</v>
      </c>
      <c r="E9" s="13"/>
      <c r="F9" s="13" t="s">
        <v>94</v>
      </c>
      <c r="G9" s="13" t="s">
        <v>46</v>
      </c>
      <c r="H9" s="13" t="s">
        <v>180</v>
      </c>
      <c r="I9" s="13" t="s">
        <v>251</v>
      </c>
      <c r="J9" s="13" t="s">
        <v>252</v>
      </c>
      <c r="K9" s="13" t="s">
        <v>253</v>
      </c>
      <c r="L9" s="13">
        <v>690</v>
      </c>
      <c r="M9" s="13">
        <v>0</v>
      </c>
      <c r="N9" s="13" t="s">
        <v>10</v>
      </c>
      <c r="O9" s="642"/>
      <c r="P9" s="671"/>
      <c r="Q9" s="634"/>
    </row>
    <row r="10" spans="1:17" ht="25.5" customHeight="1" x14ac:dyDescent="0.25">
      <c r="A10" s="14">
        <v>44484</v>
      </c>
      <c r="B10" s="15">
        <v>3034476</v>
      </c>
      <c r="C10" s="15" t="s">
        <v>50</v>
      </c>
      <c r="D10" s="120">
        <v>88054.62</v>
      </c>
      <c r="E10" s="15" t="s">
        <v>68</v>
      </c>
      <c r="F10" s="15" t="s">
        <v>46</v>
      </c>
      <c r="G10" s="15" t="s">
        <v>69</v>
      </c>
      <c r="H10" s="15" t="s">
        <v>180</v>
      </c>
      <c r="I10" s="15" t="s">
        <v>251</v>
      </c>
      <c r="J10" s="15" t="s">
        <v>252</v>
      </c>
      <c r="K10" s="15" t="s">
        <v>253</v>
      </c>
      <c r="L10" s="15">
        <v>528</v>
      </c>
      <c r="M10" s="15">
        <v>29140</v>
      </c>
      <c r="N10" s="15" t="s">
        <v>38</v>
      </c>
      <c r="O10" s="647">
        <v>96816.43</v>
      </c>
      <c r="P10" s="670">
        <f>O10/(D10+D12+D14)*100</f>
        <v>28.639998655805073</v>
      </c>
      <c r="Q10" s="632">
        <f>(D10+D12+D14)/(L10+L11+L12+L13+L14+L15)</f>
        <v>108.62667416452443</v>
      </c>
    </row>
    <row r="11" spans="1:17" ht="25.5" customHeight="1" x14ac:dyDescent="0.25">
      <c r="A11" s="14">
        <v>44485</v>
      </c>
      <c r="B11" s="15">
        <v>2816522</v>
      </c>
      <c r="C11" s="15" t="s">
        <v>9</v>
      </c>
      <c r="D11" s="120">
        <v>0</v>
      </c>
      <c r="E11" s="15"/>
      <c r="F11" s="15" t="s">
        <v>69</v>
      </c>
      <c r="G11" s="15" t="s">
        <v>74</v>
      </c>
      <c r="H11" s="15" t="s">
        <v>180</v>
      </c>
      <c r="I11" s="15" t="s">
        <v>251</v>
      </c>
      <c r="J11" s="15" t="s">
        <v>252</v>
      </c>
      <c r="K11" s="15" t="s">
        <v>253</v>
      </c>
      <c r="L11" s="15">
        <v>169</v>
      </c>
      <c r="M11" s="15">
        <v>0</v>
      </c>
      <c r="N11" s="15" t="s">
        <v>10</v>
      </c>
      <c r="O11" s="657"/>
      <c r="P11" s="670"/>
      <c r="Q11" s="632"/>
    </row>
    <row r="12" spans="1:17" ht="25.5" customHeight="1" x14ac:dyDescent="0.25">
      <c r="A12" s="14">
        <v>44486</v>
      </c>
      <c r="B12" s="15">
        <v>3034998</v>
      </c>
      <c r="C12" s="15" t="s">
        <v>50</v>
      </c>
      <c r="D12" s="120">
        <v>61554.2</v>
      </c>
      <c r="E12" s="15" t="s">
        <v>95</v>
      </c>
      <c r="F12" s="15" t="s">
        <v>74</v>
      </c>
      <c r="G12" s="15" t="s">
        <v>250</v>
      </c>
      <c r="H12" s="15" t="s">
        <v>180</v>
      </c>
      <c r="I12" s="15" t="s">
        <v>251</v>
      </c>
      <c r="J12" s="15" t="s">
        <v>252</v>
      </c>
      <c r="K12" s="15" t="s">
        <v>253</v>
      </c>
      <c r="L12" s="15">
        <v>300</v>
      </c>
      <c r="M12" s="15">
        <v>29280</v>
      </c>
      <c r="N12" s="15" t="s">
        <v>38</v>
      </c>
      <c r="O12" s="657"/>
      <c r="P12" s="670"/>
      <c r="Q12" s="632"/>
    </row>
    <row r="13" spans="1:17" ht="25.5" customHeight="1" x14ac:dyDescent="0.25">
      <c r="A13" s="14">
        <v>44487</v>
      </c>
      <c r="B13" s="15">
        <v>2816546</v>
      </c>
      <c r="C13" s="15" t="s">
        <v>9</v>
      </c>
      <c r="D13" s="120">
        <v>0</v>
      </c>
      <c r="E13" s="15"/>
      <c r="F13" s="15" t="s">
        <v>250</v>
      </c>
      <c r="G13" s="15" t="s">
        <v>74</v>
      </c>
      <c r="H13" s="15" t="s">
        <v>180</v>
      </c>
      <c r="I13" s="15" t="s">
        <v>251</v>
      </c>
      <c r="J13" s="15" t="s">
        <v>252</v>
      </c>
      <c r="K13" s="15" t="s">
        <v>253</v>
      </c>
      <c r="L13" s="15">
        <v>300</v>
      </c>
      <c r="M13" s="15">
        <v>0</v>
      </c>
      <c r="N13" s="15" t="s">
        <v>10</v>
      </c>
      <c r="O13" s="657"/>
      <c r="P13" s="670"/>
      <c r="Q13" s="632"/>
    </row>
    <row r="14" spans="1:17" ht="25.5" customHeight="1" x14ac:dyDescent="0.25">
      <c r="A14" s="14">
        <v>44488</v>
      </c>
      <c r="B14" s="15">
        <v>3036293</v>
      </c>
      <c r="C14" s="15" t="s">
        <v>50</v>
      </c>
      <c r="D14" s="120">
        <v>188437.39</v>
      </c>
      <c r="E14" s="15" t="s">
        <v>95</v>
      </c>
      <c r="F14" s="15" t="s">
        <v>74</v>
      </c>
      <c r="G14" s="15" t="s">
        <v>254</v>
      </c>
      <c r="H14" s="15" t="s">
        <v>180</v>
      </c>
      <c r="I14" s="15" t="s">
        <v>251</v>
      </c>
      <c r="J14" s="15" t="s">
        <v>252</v>
      </c>
      <c r="K14" s="15" t="s">
        <v>253</v>
      </c>
      <c r="L14" s="15">
        <v>1175</v>
      </c>
      <c r="M14" s="15">
        <v>29090</v>
      </c>
      <c r="N14" s="15" t="s">
        <v>38</v>
      </c>
      <c r="O14" s="657"/>
      <c r="P14" s="670"/>
      <c r="Q14" s="632"/>
    </row>
    <row r="15" spans="1:17" ht="25.5" customHeight="1" x14ac:dyDescent="0.25">
      <c r="A15" s="14">
        <v>44489</v>
      </c>
      <c r="B15" s="15">
        <v>2816548</v>
      </c>
      <c r="C15" s="15" t="s">
        <v>9</v>
      </c>
      <c r="D15" s="120">
        <v>0</v>
      </c>
      <c r="E15" s="15"/>
      <c r="F15" s="15" t="s">
        <v>254</v>
      </c>
      <c r="G15" s="15" t="s">
        <v>46</v>
      </c>
      <c r="H15" s="15" t="s">
        <v>180</v>
      </c>
      <c r="I15" s="15" t="s">
        <v>251</v>
      </c>
      <c r="J15" s="15" t="s">
        <v>252</v>
      </c>
      <c r="K15" s="15" t="s">
        <v>253</v>
      </c>
      <c r="L15" s="15">
        <v>640</v>
      </c>
      <c r="M15" s="15">
        <v>0</v>
      </c>
      <c r="N15" s="15" t="s">
        <v>10</v>
      </c>
      <c r="O15" s="648"/>
      <c r="P15" s="670"/>
      <c r="Q15" s="632"/>
    </row>
    <row r="16" spans="1:17" ht="25.5" customHeight="1" x14ac:dyDescent="0.25">
      <c r="A16" s="10">
        <v>44492</v>
      </c>
      <c r="B16" s="11">
        <v>3038439</v>
      </c>
      <c r="C16" s="11" t="s">
        <v>50</v>
      </c>
      <c r="D16" s="119">
        <v>103960.98</v>
      </c>
      <c r="E16" s="11" t="s">
        <v>68</v>
      </c>
      <c r="F16" s="11" t="s">
        <v>46</v>
      </c>
      <c r="G16" s="11" t="s">
        <v>94</v>
      </c>
      <c r="H16" s="11" t="s">
        <v>180</v>
      </c>
      <c r="I16" s="11" t="s">
        <v>251</v>
      </c>
      <c r="J16" s="11" t="s">
        <v>252</v>
      </c>
      <c r="K16" s="11" t="s">
        <v>253</v>
      </c>
      <c r="L16" s="11">
        <v>690</v>
      </c>
      <c r="M16" s="11">
        <v>29100</v>
      </c>
      <c r="N16" s="11" t="s">
        <v>38</v>
      </c>
      <c r="O16" s="637">
        <v>29774.424672000001</v>
      </c>
      <c r="P16" s="669">
        <f>O16/D16*100</f>
        <v>28.640000000000004</v>
      </c>
      <c r="Q16" s="630">
        <f>D16/(L16+L17)</f>
        <v>75.334043478260867</v>
      </c>
    </row>
    <row r="17" spans="1:17" ht="25.5" customHeight="1" x14ac:dyDescent="0.25">
      <c r="A17" s="10">
        <v>44494</v>
      </c>
      <c r="B17" s="11">
        <v>2816594</v>
      </c>
      <c r="C17" s="11" t="s">
        <v>9</v>
      </c>
      <c r="D17" s="119">
        <v>0</v>
      </c>
      <c r="E17" s="11"/>
      <c r="F17" s="11" t="s">
        <v>94</v>
      </c>
      <c r="G17" s="11" t="s">
        <v>46</v>
      </c>
      <c r="H17" s="11" t="s">
        <v>180</v>
      </c>
      <c r="I17" s="11" t="s">
        <v>251</v>
      </c>
      <c r="J17" s="11" t="s">
        <v>252</v>
      </c>
      <c r="K17" s="11" t="s">
        <v>253</v>
      </c>
      <c r="L17" s="11">
        <v>690</v>
      </c>
      <c r="M17" s="11">
        <v>0</v>
      </c>
      <c r="N17" s="11" t="s">
        <v>10</v>
      </c>
      <c r="O17" s="638"/>
      <c r="P17" s="669"/>
      <c r="Q17" s="630"/>
    </row>
    <row r="18" spans="1:17" ht="25.5" customHeight="1" x14ac:dyDescent="0.25">
      <c r="A18" s="16">
        <v>44495</v>
      </c>
      <c r="B18" s="17">
        <v>3038722</v>
      </c>
      <c r="C18" s="17" t="s">
        <v>50</v>
      </c>
      <c r="D18" s="122">
        <v>87932.49</v>
      </c>
      <c r="E18" s="17" t="s">
        <v>68</v>
      </c>
      <c r="F18" s="17" t="s">
        <v>46</v>
      </c>
      <c r="G18" s="17" t="s">
        <v>69</v>
      </c>
      <c r="H18" s="17" t="s">
        <v>180</v>
      </c>
      <c r="I18" s="17" t="s">
        <v>251</v>
      </c>
      <c r="J18" s="17" t="s">
        <v>252</v>
      </c>
      <c r="K18" s="17" t="s">
        <v>253</v>
      </c>
      <c r="L18" s="17">
        <v>528</v>
      </c>
      <c r="M18" s="17">
        <v>29140</v>
      </c>
      <c r="N18" s="17" t="s">
        <v>38</v>
      </c>
      <c r="O18" s="644">
        <v>101954.5</v>
      </c>
      <c r="P18" s="668">
        <f>O18/(D18+D20+D22+D24)*100</f>
        <v>28.639996193113316</v>
      </c>
      <c r="Q18" s="628">
        <f>(D18+D20+D22+D24)/(L18+L19+L20+L21+L22+L23+L24)</f>
        <v>120.79620970478453</v>
      </c>
    </row>
    <row r="19" spans="1:17" ht="25.5" customHeight="1" x14ac:dyDescent="0.25">
      <c r="A19" s="16">
        <v>44496</v>
      </c>
      <c r="B19" s="17">
        <v>2816627</v>
      </c>
      <c r="C19" s="17" t="s">
        <v>9</v>
      </c>
      <c r="D19" s="122">
        <v>0</v>
      </c>
      <c r="E19" s="17"/>
      <c r="F19" s="17" t="s">
        <v>69</v>
      </c>
      <c r="G19" s="17" t="s">
        <v>74</v>
      </c>
      <c r="H19" s="17" t="s">
        <v>180</v>
      </c>
      <c r="I19" s="17" t="s">
        <v>251</v>
      </c>
      <c r="J19" s="17" t="s">
        <v>252</v>
      </c>
      <c r="K19" s="17" t="s">
        <v>253</v>
      </c>
      <c r="L19" s="17">
        <v>169</v>
      </c>
      <c r="M19" s="17">
        <v>0</v>
      </c>
      <c r="N19" s="17" t="s">
        <v>10</v>
      </c>
      <c r="O19" s="656"/>
      <c r="P19" s="668"/>
      <c r="Q19" s="628"/>
    </row>
    <row r="20" spans="1:17" ht="25.5" customHeight="1" x14ac:dyDescent="0.25">
      <c r="A20" s="16">
        <v>44496</v>
      </c>
      <c r="B20" s="17">
        <v>3040743</v>
      </c>
      <c r="C20" s="17" t="s">
        <v>50</v>
      </c>
      <c r="D20" s="122">
        <v>61135.49</v>
      </c>
      <c r="E20" s="17" t="s">
        <v>95</v>
      </c>
      <c r="F20" s="17" t="s">
        <v>74</v>
      </c>
      <c r="G20" s="17" t="s">
        <v>250</v>
      </c>
      <c r="H20" s="17" t="s">
        <v>180</v>
      </c>
      <c r="I20" s="17" t="s">
        <v>251</v>
      </c>
      <c r="J20" s="17" t="s">
        <v>252</v>
      </c>
      <c r="K20" s="17" t="s">
        <v>253</v>
      </c>
      <c r="L20" s="17">
        <v>300</v>
      </c>
      <c r="M20" s="17">
        <v>29200</v>
      </c>
      <c r="N20" s="17" t="s">
        <v>38</v>
      </c>
      <c r="O20" s="656"/>
      <c r="P20" s="668"/>
      <c r="Q20" s="628"/>
    </row>
    <row r="21" spans="1:17" ht="25.5" customHeight="1" x14ac:dyDescent="0.25">
      <c r="A21" s="16">
        <v>44497</v>
      </c>
      <c r="B21" s="17">
        <v>2816656</v>
      </c>
      <c r="C21" s="17" t="s">
        <v>9</v>
      </c>
      <c r="D21" s="122">
        <v>0</v>
      </c>
      <c r="E21" s="17"/>
      <c r="F21" s="17" t="s">
        <v>250</v>
      </c>
      <c r="G21" s="17" t="s">
        <v>74</v>
      </c>
      <c r="H21" s="17" t="s">
        <v>180</v>
      </c>
      <c r="I21" s="17" t="s">
        <v>251</v>
      </c>
      <c r="J21" s="17" t="s">
        <v>252</v>
      </c>
      <c r="K21" s="17" t="s">
        <v>253</v>
      </c>
      <c r="L21" s="17">
        <v>300</v>
      </c>
      <c r="M21" s="17">
        <v>0</v>
      </c>
      <c r="N21" s="17" t="s">
        <v>10</v>
      </c>
      <c r="O21" s="656"/>
      <c r="P21" s="668"/>
      <c r="Q21" s="628"/>
    </row>
    <row r="22" spans="1:17" ht="25.5" customHeight="1" x14ac:dyDescent="0.25">
      <c r="A22" s="16">
        <v>44498</v>
      </c>
      <c r="B22" s="17">
        <v>3041924</v>
      </c>
      <c r="C22" s="17" t="s">
        <v>50</v>
      </c>
      <c r="D22" s="122">
        <v>50882.09</v>
      </c>
      <c r="E22" s="17" t="s">
        <v>95</v>
      </c>
      <c r="F22" s="17" t="s">
        <v>74</v>
      </c>
      <c r="G22" s="17" t="s">
        <v>222</v>
      </c>
      <c r="H22" s="17" t="s">
        <v>180</v>
      </c>
      <c r="I22" s="17" t="s">
        <v>251</v>
      </c>
      <c r="J22" s="17" t="s">
        <v>252</v>
      </c>
      <c r="K22" s="17" t="s">
        <v>253</v>
      </c>
      <c r="L22" s="17">
        <v>275</v>
      </c>
      <c r="M22" s="17">
        <v>29060</v>
      </c>
      <c r="N22" s="17" t="s">
        <v>38</v>
      </c>
      <c r="O22" s="656"/>
      <c r="P22" s="668"/>
      <c r="Q22" s="628"/>
    </row>
    <row r="23" spans="1:17" ht="25.5" customHeight="1" x14ac:dyDescent="0.25">
      <c r="A23" s="16">
        <v>44499</v>
      </c>
      <c r="B23" s="17">
        <v>2816655</v>
      </c>
      <c r="C23" s="17" t="s">
        <v>9</v>
      </c>
      <c r="D23" s="122">
        <v>0</v>
      </c>
      <c r="E23" s="17"/>
      <c r="F23" s="17" t="s">
        <v>222</v>
      </c>
      <c r="G23" s="17" t="s">
        <v>74</v>
      </c>
      <c r="H23" s="17" t="s">
        <v>180</v>
      </c>
      <c r="I23" s="17" t="s">
        <v>251</v>
      </c>
      <c r="J23" s="17" t="s">
        <v>252</v>
      </c>
      <c r="K23" s="17" t="s">
        <v>253</v>
      </c>
      <c r="L23" s="17">
        <v>275</v>
      </c>
      <c r="M23" s="17">
        <v>0</v>
      </c>
      <c r="N23" s="17" t="s">
        <v>10</v>
      </c>
      <c r="O23" s="656"/>
      <c r="P23" s="668"/>
      <c r="Q23" s="628"/>
    </row>
    <row r="24" spans="1:17" ht="25.5" customHeight="1" x14ac:dyDescent="0.25">
      <c r="A24" s="57">
        <v>44500</v>
      </c>
      <c r="B24" s="58">
        <v>3042380</v>
      </c>
      <c r="C24" s="58" t="s">
        <v>50</v>
      </c>
      <c r="D24" s="123">
        <v>156036.35999999999</v>
      </c>
      <c r="E24" s="58" t="s">
        <v>95</v>
      </c>
      <c r="F24" s="58" t="s">
        <v>74</v>
      </c>
      <c r="G24" s="58" t="s">
        <v>255</v>
      </c>
      <c r="H24" s="58" t="s">
        <v>180</v>
      </c>
      <c r="I24" s="58" t="s">
        <v>251</v>
      </c>
      <c r="J24" s="58" t="s">
        <v>252</v>
      </c>
      <c r="K24" s="58" t="s">
        <v>253</v>
      </c>
      <c r="L24" s="58">
        <v>1100</v>
      </c>
      <c r="M24" s="58">
        <v>23810</v>
      </c>
      <c r="N24" s="58" t="s">
        <v>38</v>
      </c>
      <c r="O24" s="645"/>
      <c r="P24" s="668"/>
      <c r="Q24" s="628"/>
    </row>
    <row r="25" spans="1:17" x14ac:dyDescent="0.25">
      <c r="A25" s="9"/>
      <c r="B25" s="9"/>
      <c r="C25" s="9"/>
      <c r="D25" s="18">
        <f>SUM(D4:D24)</f>
        <v>1117796.76</v>
      </c>
      <c r="E25" s="9"/>
      <c r="F25" s="9"/>
      <c r="G25" s="9"/>
      <c r="H25" s="9"/>
      <c r="I25" s="9"/>
      <c r="J25" s="9"/>
      <c r="K25" s="9"/>
      <c r="L25" s="9">
        <f>SUM(L4:L24)</f>
        <v>11115</v>
      </c>
      <c r="M25" s="9"/>
      <c r="N25" s="9"/>
      <c r="O25" s="24">
        <f>SUM(O4:O24)</f>
        <v>320136.97396799998</v>
      </c>
      <c r="P25" s="39">
        <f>O25/D25*100</f>
        <v>28.639998381101051</v>
      </c>
      <c r="Q25" s="26">
        <f>D25/L25</f>
        <v>100.5665101214575</v>
      </c>
    </row>
    <row r="27" spans="1:17" x14ac:dyDescent="0.25">
      <c r="A27" s="99" t="s">
        <v>322</v>
      </c>
      <c r="B27" s="100" t="s">
        <v>328</v>
      </c>
      <c r="C27" s="101"/>
      <c r="D27" s="102"/>
    </row>
    <row r="28" spans="1:17" x14ac:dyDescent="0.25">
      <c r="A28" s="103">
        <f>D25/L25</f>
        <v>100.5665101214575</v>
      </c>
      <c r="B28" s="9"/>
      <c r="C28" s="104"/>
      <c r="D28" s="105"/>
    </row>
    <row r="29" spans="1:17" x14ac:dyDescent="0.25">
      <c r="D29" s="25"/>
    </row>
    <row r="30" spans="1:17" x14ac:dyDescent="0.25">
      <c r="A30" s="36"/>
      <c r="B30" s="36" t="s">
        <v>329</v>
      </c>
      <c r="C30" s="36" t="s">
        <v>330</v>
      </c>
      <c r="D30" s="106" t="s">
        <v>253</v>
      </c>
    </row>
    <row r="31" spans="1:17" x14ac:dyDescent="0.25">
      <c r="A31" s="7" t="s">
        <v>331</v>
      </c>
      <c r="B31" s="42">
        <f>D25</f>
        <v>1117796.76</v>
      </c>
      <c r="C31" s="45">
        <f>B32</f>
        <v>320136.97396799998</v>
      </c>
      <c r="D31" s="46">
        <f>C31/B31</f>
        <v>0.28639998381101051</v>
      </c>
    </row>
    <row r="32" spans="1:17" x14ac:dyDescent="0.25">
      <c r="A32" s="47" t="s">
        <v>27</v>
      </c>
      <c r="B32" s="24">
        <f>O25</f>
        <v>320136.97396799998</v>
      </c>
      <c r="C32" s="9"/>
      <c r="D32" s="25"/>
    </row>
    <row r="33" spans="1:4" x14ac:dyDescent="0.25">
      <c r="A33" s="48" t="s">
        <v>332</v>
      </c>
      <c r="B33" s="107"/>
      <c r="C33" s="49">
        <f>(12*(78578.313+12454.55))/(150000+80000)*L25</f>
        <v>52791.144638869562</v>
      </c>
      <c r="D33" s="25"/>
    </row>
    <row r="34" spans="1:4" x14ac:dyDescent="0.25">
      <c r="A34" s="48" t="s">
        <v>335</v>
      </c>
      <c r="B34" s="107"/>
      <c r="C34" s="42"/>
      <c r="D34" s="25"/>
    </row>
    <row r="35" spans="1:4" x14ac:dyDescent="0.25">
      <c r="A35" s="48" t="s">
        <v>336</v>
      </c>
      <c r="B35" s="107"/>
      <c r="C35" s="42">
        <f>'PATENTE MUNICIPAL'!I50</f>
        <v>20.833333333333332</v>
      </c>
      <c r="D35" s="25"/>
    </row>
    <row r="36" spans="1:4" x14ac:dyDescent="0.25">
      <c r="A36" s="48" t="s">
        <v>337</v>
      </c>
      <c r="B36" s="107"/>
      <c r="C36" s="42">
        <f>SEGURO!K54</f>
        <v>261.09831688804553</v>
      </c>
      <c r="D36" s="25"/>
    </row>
    <row r="37" spans="1:4" x14ac:dyDescent="0.25">
      <c r="A37" s="48" t="s">
        <v>339</v>
      </c>
      <c r="B37" s="107"/>
      <c r="C37" s="42">
        <f>'GASTOS SEMI'!H160</f>
        <v>2585.71</v>
      </c>
      <c r="D37" s="25"/>
    </row>
    <row r="38" spans="1:4" x14ac:dyDescent="0.25">
      <c r="A38" s="48" t="s">
        <v>340</v>
      </c>
      <c r="B38" s="107"/>
      <c r="C38" s="51">
        <f>SUM(C33:C37)</f>
        <v>55658.786289090946</v>
      </c>
      <c r="D38" s="25"/>
    </row>
    <row r="39" spans="1:4" x14ac:dyDescent="0.25">
      <c r="A39" s="36" t="s">
        <v>341</v>
      </c>
      <c r="B39" s="107"/>
      <c r="C39" s="53">
        <f>C31-C32-C38</f>
        <v>264478.18767890905</v>
      </c>
      <c r="D39" s="106">
        <f>+B39+C39</f>
        <v>264478.18767890905</v>
      </c>
    </row>
  </sheetData>
  <sortState xmlns:xlrd2="http://schemas.microsoft.com/office/spreadsheetml/2017/richdata2" ref="A2:P23">
    <sortCondition ref="A1"/>
  </sortState>
  <mergeCells count="19">
    <mergeCell ref="Q18:Q24"/>
    <mergeCell ref="P18:P24"/>
    <mergeCell ref="O18:O24"/>
    <mergeCell ref="Q16:Q17"/>
    <mergeCell ref="P16:P17"/>
    <mergeCell ref="O16:O17"/>
    <mergeCell ref="Q10:Q15"/>
    <mergeCell ref="P10:P15"/>
    <mergeCell ref="O10:O15"/>
    <mergeCell ref="Q8:Q9"/>
    <mergeCell ref="P8:P9"/>
    <mergeCell ref="O8:O9"/>
    <mergeCell ref="A1:Q2"/>
    <mergeCell ref="Q6:Q7"/>
    <mergeCell ref="P6:P7"/>
    <mergeCell ref="O6:O7"/>
    <mergeCell ref="Q4:Q5"/>
    <mergeCell ref="P4:P5"/>
    <mergeCell ref="O4:O5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A1:Q33"/>
  <sheetViews>
    <sheetView topLeftCell="A19" zoomScaleNormal="100" workbookViewId="0">
      <selection activeCell="R1" sqref="R1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47.42578125" style="2" bestFit="1" customWidth="1"/>
    <col min="8" max="8" width="24.28515625" style="2" bestFit="1" customWidth="1"/>
    <col min="9" max="9" width="26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7" t="s">
        <v>364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44474</v>
      </c>
      <c r="B4" s="11">
        <v>3029538</v>
      </c>
      <c r="C4" s="11" t="s">
        <v>50</v>
      </c>
      <c r="D4" s="125">
        <v>109737.51</v>
      </c>
      <c r="E4" s="11" t="s">
        <v>51</v>
      </c>
      <c r="F4" s="11" t="s">
        <v>46</v>
      </c>
      <c r="G4" s="11" t="s">
        <v>126</v>
      </c>
      <c r="H4" s="11" t="s">
        <v>180</v>
      </c>
      <c r="I4" s="11" t="s">
        <v>181</v>
      </c>
      <c r="J4" s="11" t="s">
        <v>182</v>
      </c>
      <c r="K4" s="11" t="s">
        <v>183</v>
      </c>
      <c r="L4" s="11">
        <v>671</v>
      </c>
      <c r="M4" s="11">
        <v>28900</v>
      </c>
      <c r="N4" s="60" t="s">
        <v>38</v>
      </c>
      <c r="O4" s="630">
        <v>31428.822864000002</v>
      </c>
      <c r="P4" s="636">
        <f>O4/D4*100</f>
        <v>28.640000000000004</v>
      </c>
      <c r="Q4" s="630">
        <f>D4/(L4+L5)</f>
        <v>81.771616989567804</v>
      </c>
    </row>
    <row r="5" spans="1:17" ht="25.5" customHeight="1" x14ac:dyDescent="0.25">
      <c r="A5" s="10">
        <v>44475</v>
      </c>
      <c r="B5" s="11">
        <v>2816496</v>
      </c>
      <c r="C5" s="11" t="s">
        <v>9</v>
      </c>
      <c r="D5" s="125">
        <v>0</v>
      </c>
      <c r="E5" s="11"/>
      <c r="F5" s="11" t="s">
        <v>126</v>
      </c>
      <c r="G5" s="11" t="s">
        <v>46</v>
      </c>
      <c r="H5" s="11" t="s">
        <v>180</v>
      </c>
      <c r="I5" s="11" t="s">
        <v>181</v>
      </c>
      <c r="J5" s="11" t="s">
        <v>182</v>
      </c>
      <c r="K5" s="11" t="s">
        <v>183</v>
      </c>
      <c r="L5" s="11">
        <v>671</v>
      </c>
      <c r="M5" s="11">
        <v>0</v>
      </c>
      <c r="N5" s="60" t="s">
        <v>10</v>
      </c>
      <c r="O5" s="630"/>
      <c r="P5" s="636"/>
      <c r="Q5" s="630"/>
    </row>
    <row r="6" spans="1:17" ht="25.5" customHeight="1" x14ac:dyDescent="0.25">
      <c r="A6" s="16">
        <v>44481</v>
      </c>
      <c r="B6" s="17">
        <v>3032324</v>
      </c>
      <c r="C6" s="17" t="s">
        <v>50</v>
      </c>
      <c r="D6" s="128">
        <v>58755.67</v>
      </c>
      <c r="E6" s="17" t="s">
        <v>68</v>
      </c>
      <c r="F6" s="17" t="s">
        <v>46</v>
      </c>
      <c r="G6" s="17" t="s">
        <v>184</v>
      </c>
      <c r="H6" s="17" t="s">
        <v>180</v>
      </c>
      <c r="I6" s="17" t="s">
        <v>181</v>
      </c>
      <c r="J6" s="17" t="s">
        <v>182</v>
      </c>
      <c r="K6" s="17" t="s">
        <v>183</v>
      </c>
      <c r="L6" s="17">
        <v>360</v>
      </c>
      <c r="M6" s="17">
        <v>28580</v>
      </c>
      <c r="N6" s="61" t="s">
        <v>38</v>
      </c>
      <c r="O6" s="628">
        <v>16827.623887999998</v>
      </c>
      <c r="P6" s="643">
        <f>O6/D6*100</f>
        <v>28.64</v>
      </c>
      <c r="Q6" s="628">
        <f>D6/(L6+L7)</f>
        <v>81.605097222222213</v>
      </c>
    </row>
    <row r="7" spans="1:17" ht="25.5" customHeight="1" x14ac:dyDescent="0.25">
      <c r="A7" s="16">
        <v>44482</v>
      </c>
      <c r="B7" s="17">
        <v>2816495</v>
      </c>
      <c r="C7" s="17" t="s">
        <v>9</v>
      </c>
      <c r="D7" s="128">
        <v>0</v>
      </c>
      <c r="E7" s="17"/>
      <c r="F7" s="17" t="s">
        <v>184</v>
      </c>
      <c r="G7" s="17" t="s">
        <v>46</v>
      </c>
      <c r="H7" s="17" t="s">
        <v>180</v>
      </c>
      <c r="I7" s="17" t="s">
        <v>181</v>
      </c>
      <c r="J7" s="17" t="s">
        <v>182</v>
      </c>
      <c r="K7" s="17" t="s">
        <v>183</v>
      </c>
      <c r="L7" s="17">
        <v>360</v>
      </c>
      <c r="M7" s="17">
        <v>0</v>
      </c>
      <c r="N7" s="61" t="s">
        <v>10</v>
      </c>
      <c r="O7" s="628"/>
      <c r="P7" s="643"/>
      <c r="Q7" s="628"/>
    </row>
    <row r="8" spans="1:17" ht="25.5" customHeight="1" x14ac:dyDescent="0.25">
      <c r="A8" s="12">
        <v>44483</v>
      </c>
      <c r="B8" s="13">
        <v>3033480</v>
      </c>
      <c r="C8" s="13" t="s">
        <v>50</v>
      </c>
      <c r="D8" s="127">
        <v>102594.68</v>
      </c>
      <c r="E8" s="13" t="s">
        <v>68</v>
      </c>
      <c r="F8" s="13" t="s">
        <v>46</v>
      </c>
      <c r="G8" s="13" t="s">
        <v>45</v>
      </c>
      <c r="H8" s="13" t="s">
        <v>180</v>
      </c>
      <c r="I8" s="13" t="s">
        <v>181</v>
      </c>
      <c r="J8" s="13" t="s">
        <v>182</v>
      </c>
      <c r="K8" s="13" t="s">
        <v>183</v>
      </c>
      <c r="L8" s="13">
        <v>648</v>
      </c>
      <c r="M8" s="13">
        <v>28800</v>
      </c>
      <c r="N8" s="62" t="s">
        <v>38</v>
      </c>
      <c r="O8" s="634">
        <v>29383.116352000001</v>
      </c>
      <c r="P8" s="639">
        <f>O8/D8*100</f>
        <v>28.640000000000004</v>
      </c>
      <c r="Q8" s="634">
        <f>D8/(L8+L9)</f>
        <v>79.162561728395062</v>
      </c>
    </row>
    <row r="9" spans="1:17" ht="25.5" customHeight="1" x14ac:dyDescent="0.25">
      <c r="A9" s="12">
        <v>44485</v>
      </c>
      <c r="B9" s="13">
        <v>2816513</v>
      </c>
      <c r="C9" s="13" t="s">
        <v>9</v>
      </c>
      <c r="D9" s="127">
        <v>0</v>
      </c>
      <c r="E9" s="13"/>
      <c r="F9" s="13" t="s">
        <v>45</v>
      </c>
      <c r="G9" s="13" t="s">
        <v>46</v>
      </c>
      <c r="H9" s="13" t="s">
        <v>180</v>
      </c>
      <c r="I9" s="13" t="s">
        <v>181</v>
      </c>
      <c r="J9" s="13" t="s">
        <v>182</v>
      </c>
      <c r="K9" s="13" t="s">
        <v>183</v>
      </c>
      <c r="L9" s="13">
        <v>648</v>
      </c>
      <c r="M9" s="13">
        <v>0</v>
      </c>
      <c r="N9" s="62" t="s">
        <v>10</v>
      </c>
      <c r="O9" s="634"/>
      <c r="P9" s="639"/>
      <c r="Q9" s="634"/>
    </row>
    <row r="10" spans="1:17" ht="25.5" customHeight="1" x14ac:dyDescent="0.25">
      <c r="A10" s="14">
        <v>44486</v>
      </c>
      <c r="B10" s="15">
        <v>3034608</v>
      </c>
      <c r="C10" s="15" t="s">
        <v>50</v>
      </c>
      <c r="D10" s="129">
        <v>20972.44</v>
      </c>
      <c r="E10" s="15" t="s">
        <v>68</v>
      </c>
      <c r="F10" s="15" t="s">
        <v>46</v>
      </c>
      <c r="G10" s="15" t="s">
        <v>81</v>
      </c>
      <c r="H10" s="15" t="s">
        <v>180</v>
      </c>
      <c r="I10" s="15" t="s">
        <v>181</v>
      </c>
      <c r="J10" s="15" t="s">
        <v>182</v>
      </c>
      <c r="K10" s="15" t="s">
        <v>183</v>
      </c>
      <c r="L10" s="15">
        <v>120</v>
      </c>
      <c r="M10" s="15">
        <v>28820</v>
      </c>
      <c r="N10" s="63" t="s">
        <v>38</v>
      </c>
      <c r="O10" s="632">
        <v>6006.5068160000001</v>
      </c>
      <c r="P10" s="646">
        <f>O10/D10*100</f>
        <v>28.640000000000004</v>
      </c>
      <c r="Q10" s="632">
        <f>D10/(L10+L11)</f>
        <v>87.385166666666663</v>
      </c>
    </row>
    <row r="11" spans="1:17" ht="25.5" customHeight="1" x14ac:dyDescent="0.25">
      <c r="A11" s="14">
        <v>44487</v>
      </c>
      <c r="B11" s="15">
        <v>2816528</v>
      </c>
      <c r="C11" s="15" t="s">
        <v>9</v>
      </c>
      <c r="D11" s="129">
        <v>0</v>
      </c>
      <c r="E11" s="15"/>
      <c r="F11" s="15" t="s">
        <v>81</v>
      </c>
      <c r="G11" s="15" t="s">
        <v>46</v>
      </c>
      <c r="H11" s="15" t="s">
        <v>180</v>
      </c>
      <c r="I11" s="15" t="s">
        <v>181</v>
      </c>
      <c r="J11" s="15" t="s">
        <v>182</v>
      </c>
      <c r="K11" s="15" t="s">
        <v>183</v>
      </c>
      <c r="L11" s="15">
        <v>120</v>
      </c>
      <c r="M11" s="15">
        <v>0</v>
      </c>
      <c r="N11" s="63" t="s">
        <v>10</v>
      </c>
      <c r="O11" s="632"/>
      <c r="P11" s="646"/>
      <c r="Q11" s="632"/>
    </row>
    <row r="12" spans="1:17" ht="25.5" customHeight="1" x14ac:dyDescent="0.25">
      <c r="A12" s="10">
        <v>44487</v>
      </c>
      <c r="B12" s="11">
        <v>3035367</v>
      </c>
      <c r="C12" s="11" t="s">
        <v>50</v>
      </c>
      <c r="D12" s="125">
        <v>95126.9</v>
      </c>
      <c r="E12" s="11" t="s">
        <v>68</v>
      </c>
      <c r="F12" s="11" t="s">
        <v>46</v>
      </c>
      <c r="G12" s="11" t="s">
        <v>77</v>
      </c>
      <c r="H12" s="11" t="s">
        <v>180</v>
      </c>
      <c r="I12" s="11" t="s">
        <v>181</v>
      </c>
      <c r="J12" s="11" t="s">
        <v>182</v>
      </c>
      <c r="K12" s="11" t="s">
        <v>183</v>
      </c>
      <c r="L12" s="11">
        <v>640</v>
      </c>
      <c r="M12" s="11">
        <v>28880</v>
      </c>
      <c r="N12" s="60" t="s">
        <v>38</v>
      </c>
      <c r="O12" s="630">
        <v>27244.344160000001</v>
      </c>
      <c r="P12" s="636">
        <f>O12/D12*100</f>
        <v>28.640000000000004</v>
      </c>
      <c r="Q12" s="630">
        <f>D12/(L12+L13)</f>
        <v>74.31789062499999</v>
      </c>
    </row>
    <row r="13" spans="1:17" ht="25.5" customHeight="1" x14ac:dyDescent="0.25">
      <c r="A13" s="10">
        <v>44489</v>
      </c>
      <c r="B13" s="11">
        <v>2816576</v>
      </c>
      <c r="C13" s="11" t="s">
        <v>9</v>
      </c>
      <c r="D13" s="125">
        <v>0</v>
      </c>
      <c r="E13" s="11"/>
      <c r="F13" s="11" t="s">
        <v>77</v>
      </c>
      <c r="G13" s="11" t="s">
        <v>46</v>
      </c>
      <c r="H13" s="11" t="s">
        <v>180</v>
      </c>
      <c r="I13" s="11" t="s">
        <v>181</v>
      </c>
      <c r="J13" s="11" t="s">
        <v>182</v>
      </c>
      <c r="K13" s="11" t="s">
        <v>183</v>
      </c>
      <c r="L13" s="11">
        <v>640</v>
      </c>
      <c r="M13" s="11">
        <v>0</v>
      </c>
      <c r="N13" s="60" t="s">
        <v>10</v>
      </c>
      <c r="O13" s="630"/>
      <c r="P13" s="636"/>
      <c r="Q13" s="630"/>
    </row>
    <row r="14" spans="1:17" ht="25.5" customHeight="1" x14ac:dyDescent="0.25">
      <c r="A14" s="16">
        <v>44492</v>
      </c>
      <c r="B14" s="17">
        <v>3038319</v>
      </c>
      <c r="C14" s="17" t="s">
        <v>50</v>
      </c>
      <c r="D14" s="128">
        <v>87382.91</v>
      </c>
      <c r="E14" s="17" t="s">
        <v>68</v>
      </c>
      <c r="F14" s="17" t="s">
        <v>46</v>
      </c>
      <c r="G14" s="17" t="s">
        <v>69</v>
      </c>
      <c r="H14" s="17" t="s">
        <v>180</v>
      </c>
      <c r="I14" s="17" t="s">
        <v>181</v>
      </c>
      <c r="J14" s="17" t="s">
        <v>182</v>
      </c>
      <c r="K14" s="17" t="s">
        <v>183</v>
      </c>
      <c r="L14" s="17">
        <v>528</v>
      </c>
      <c r="M14" s="17">
        <v>28800</v>
      </c>
      <c r="N14" s="61" t="s">
        <v>38</v>
      </c>
      <c r="O14" s="628">
        <v>25026.465424000002</v>
      </c>
      <c r="P14" s="643">
        <f>O14/D14*100</f>
        <v>28.64</v>
      </c>
      <c r="Q14" s="628">
        <f>D14/(L14+L15)</f>
        <v>82.748967803030311</v>
      </c>
    </row>
    <row r="15" spans="1:17" ht="25.5" customHeight="1" x14ac:dyDescent="0.25">
      <c r="A15" s="16">
        <v>44492</v>
      </c>
      <c r="B15" s="17">
        <v>2816608</v>
      </c>
      <c r="C15" s="17" t="s">
        <v>9</v>
      </c>
      <c r="D15" s="128">
        <v>0</v>
      </c>
      <c r="E15" s="17"/>
      <c r="F15" s="17" t="s">
        <v>69</v>
      </c>
      <c r="G15" s="17" t="s">
        <v>46</v>
      </c>
      <c r="H15" s="17" t="s">
        <v>180</v>
      </c>
      <c r="I15" s="17" t="s">
        <v>181</v>
      </c>
      <c r="J15" s="17" t="s">
        <v>182</v>
      </c>
      <c r="K15" s="17" t="s">
        <v>183</v>
      </c>
      <c r="L15" s="17">
        <v>528</v>
      </c>
      <c r="M15" s="17">
        <v>0</v>
      </c>
      <c r="N15" s="61" t="s">
        <v>10</v>
      </c>
      <c r="O15" s="628"/>
      <c r="P15" s="643"/>
      <c r="Q15" s="628"/>
    </row>
    <row r="16" spans="1:17" ht="25.5" customHeight="1" x14ac:dyDescent="0.25">
      <c r="A16" s="78">
        <v>44496</v>
      </c>
      <c r="B16" s="62">
        <v>3040633</v>
      </c>
      <c r="C16" s="62" t="s">
        <v>50</v>
      </c>
      <c r="D16" s="126">
        <v>111636.07</v>
      </c>
      <c r="E16" s="62" t="s">
        <v>68</v>
      </c>
      <c r="F16" s="62" t="s">
        <v>46</v>
      </c>
      <c r="G16" s="62" t="s">
        <v>126</v>
      </c>
      <c r="H16" s="62" t="s">
        <v>180</v>
      </c>
      <c r="I16" s="62" t="s">
        <v>181</v>
      </c>
      <c r="J16" s="62" t="s">
        <v>182</v>
      </c>
      <c r="K16" s="62" t="s">
        <v>49</v>
      </c>
      <c r="L16" s="62">
        <v>671</v>
      </c>
      <c r="M16" s="62">
        <v>29200</v>
      </c>
      <c r="N16" s="62" t="s">
        <v>38</v>
      </c>
      <c r="O16" s="634">
        <v>31972.570447999999</v>
      </c>
      <c r="P16" s="639">
        <f>O16/D16*100</f>
        <v>28.64</v>
      </c>
      <c r="Q16" s="634">
        <f>D16/(L16+L17)</f>
        <v>83.186341281669158</v>
      </c>
    </row>
    <row r="17" spans="1:17" ht="25.5" customHeight="1" x14ac:dyDescent="0.25">
      <c r="A17" s="78">
        <v>44498</v>
      </c>
      <c r="B17" s="62">
        <v>2816640</v>
      </c>
      <c r="C17" s="62" t="s">
        <v>9</v>
      </c>
      <c r="D17" s="126">
        <v>0</v>
      </c>
      <c r="E17" s="62"/>
      <c r="F17" s="62" t="s">
        <v>126</v>
      </c>
      <c r="G17" s="62" t="s">
        <v>46</v>
      </c>
      <c r="H17" s="62" t="s">
        <v>180</v>
      </c>
      <c r="I17" s="62" t="s">
        <v>181</v>
      </c>
      <c r="J17" s="62" t="s">
        <v>182</v>
      </c>
      <c r="K17" s="62" t="s">
        <v>49</v>
      </c>
      <c r="L17" s="62">
        <v>671</v>
      </c>
      <c r="M17" s="62">
        <v>0</v>
      </c>
      <c r="N17" s="62" t="s">
        <v>10</v>
      </c>
      <c r="O17" s="634"/>
      <c r="P17" s="639"/>
      <c r="Q17" s="634"/>
    </row>
    <row r="18" spans="1:17" ht="25.5" customHeight="1" x14ac:dyDescent="0.25">
      <c r="A18" s="3">
        <v>44498</v>
      </c>
      <c r="B18" s="4">
        <v>3042131</v>
      </c>
      <c r="C18" s="4" t="s">
        <v>50</v>
      </c>
      <c r="D18" s="5">
        <v>103603.72</v>
      </c>
      <c r="E18" s="4" t="s">
        <v>68</v>
      </c>
      <c r="F18" s="4" t="s">
        <v>46</v>
      </c>
      <c r="G18" s="4" t="s">
        <v>94</v>
      </c>
      <c r="H18" s="4" t="s">
        <v>180</v>
      </c>
      <c r="I18" s="4" t="s">
        <v>181</v>
      </c>
      <c r="J18" s="4" t="s">
        <v>182</v>
      </c>
      <c r="K18" s="4" t="s">
        <v>49</v>
      </c>
      <c r="L18" s="4">
        <v>690</v>
      </c>
      <c r="M18" s="4">
        <v>29000</v>
      </c>
      <c r="N18" s="9" t="s">
        <v>38</v>
      </c>
      <c r="O18" s="24">
        <v>29672.105407999999</v>
      </c>
      <c r="P18" s="28">
        <f>O18/D18*100</f>
        <v>28.64</v>
      </c>
      <c r="Q18" s="24">
        <f>D18/L18</f>
        <v>150.1503188405797</v>
      </c>
    </row>
    <row r="19" spans="1:17" x14ac:dyDescent="0.25">
      <c r="A19" s="9"/>
      <c r="B19" s="9"/>
      <c r="C19" s="9"/>
      <c r="D19" s="18">
        <f>SUM(D4:D18)</f>
        <v>689809.89999999991</v>
      </c>
      <c r="E19" s="9"/>
      <c r="F19" s="9"/>
      <c r="G19" s="9"/>
      <c r="H19" s="9"/>
      <c r="I19" s="9"/>
      <c r="J19" s="9"/>
      <c r="K19" s="9"/>
      <c r="L19" s="9">
        <f>SUM(L4:L18)</f>
        <v>7966</v>
      </c>
      <c r="M19" s="9"/>
      <c r="N19" s="9"/>
      <c r="O19" s="24">
        <f>SUM(O4:O18)</f>
        <v>197561.55536</v>
      </c>
      <c r="P19" s="28">
        <f>O19/D19*100</f>
        <v>28.640000000000004</v>
      </c>
      <c r="Q19" s="26">
        <f>D19/L19</f>
        <v>86.594263118252556</v>
      </c>
    </row>
    <row r="21" spans="1:17" x14ac:dyDescent="0.25">
      <c r="A21" s="99" t="s">
        <v>322</v>
      </c>
      <c r="B21" s="100" t="s">
        <v>328</v>
      </c>
      <c r="C21" s="101"/>
      <c r="D21" s="102"/>
    </row>
    <row r="22" spans="1:17" x14ac:dyDescent="0.25">
      <c r="A22" s="103">
        <f>D19/L19</f>
        <v>86.594263118252556</v>
      </c>
      <c r="B22" s="9"/>
      <c r="C22" s="104"/>
      <c r="D22" s="105"/>
    </row>
    <row r="23" spans="1:17" x14ac:dyDescent="0.25">
      <c r="D23" s="25"/>
    </row>
    <row r="24" spans="1:17" x14ac:dyDescent="0.25">
      <c r="A24" s="36"/>
      <c r="B24" s="36" t="s">
        <v>329</v>
      </c>
      <c r="C24" s="36" t="s">
        <v>330</v>
      </c>
      <c r="D24" s="106" t="s">
        <v>183</v>
      </c>
    </row>
    <row r="25" spans="1:17" x14ac:dyDescent="0.25">
      <c r="A25" s="7" t="s">
        <v>331</v>
      </c>
      <c r="B25" s="42">
        <f>D19</f>
        <v>689809.89999999991</v>
      </c>
      <c r="C25" s="45">
        <f>B26</f>
        <v>197561.55536</v>
      </c>
      <c r="D25" s="46">
        <f>C25/B25</f>
        <v>0.28640000000000004</v>
      </c>
    </row>
    <row r="26" spans="1:17" x14ac:dyDescent="0.25">
      <c r="A26" s="47" t="s">
        <v>27</v>
      </c>
      <c r="B26" s="24">
        <f>O19</f>
        <v>197561.55536</v>
      </c>
      <c r="C26" s="9"/>
      <c r="D26" s="25"/>
    </row>
    <row r="27" spans="1:17" x14ac:dyDescent="0.25">
      <c r="A27" s="48" t="s">
        <v>332</v>
      </c>
      <c r="B27" s="107"/>
      <c r="C27" s="49">
        <f>(12*(78578.313+12454.55))/(150000+80000)*L19</f>
        <v>37834.841043026085</v>
      </c>
      <c r="D27" s="25"/>
    </row>
    <row r="28" spans="1:17" x14ac:dyDescent="0.25">
      <c r="A28" s="48" t="s">
        <v>335</v>
      </c>
      <c r="B28" s="107"/>
      <c r="C28" s="42"/>
      <c r="D28" s="25"/>
    </row>
    <row r="29" spans="1:17" x14ac:dyDescent="0.25">
      <c r="A29" s="48" t="s">
        <v>336</v>
      </c>
      <c r="B29" s="107"/>
      <c r="C29" s="42">
        <f>'PATENTE MUNICIPAL'!I47</f>
        <v>20.833333333333332</v>
      </c>
      <c r="D29" s="25"/>
    </row>
    <row r="30" spans="1:17" x14ac:dyDescent="0.25">
      <c r="A30" s="48" t="s">
        <v>337</v>
      </c>
      <c r="B30" s="107"/>
      <c r="C30" s="42">
        <f>SEGURO!K51</f>
        <v>261.09831688804553</v>
      </c>
      <c r="D30" s="25"/>
    </row>
    <row r="31" spans="1:17" x14ac:dyDescent="0.25">
      <c r="A31" s="48" t="s">
        <v>339</v>
      </c>
      <c r="B31" s="107"/>
      <c r="C31" s="42">
        <f>'GASTOS SEMI'!H146</f>
        <v>64885.322899999999</v>
      </c>
      <c r="D31" s="25"/>
    </row>
    <row r="32" spans="1:17" x14ac:dyDescent="0.25">
      <c r="A32" s="48" t="s">
        <v>340</v>
      </c>
      <c r="B32" s="107"/>
      <c r="C32" s="51">
        <f>SUM(C27:C31)</f>
        <v>103002.09559324748</v>
      </c>
      <c r="D32" s="25"/>
    </row>
    <row r="33" spans="1:4" x14ac:dyDescent="0.25">
      <c r="A33" s="36" t="s">
        <v>341</v>
      </c>
      <c r="B33" s="107"/>
      <c r="C33" s="53">
        <f>C25-C26-C32</f>
        <v>94559.459766752523</v>
      </c>
      <c r="D33" s="106">
        <f>+B33+C33</f>
        <v>94559.459766752523</v>
      </c>
    </row>
  </sheetData>
  <sortState xmlns:xlrd2="http://schemas.microsoft.com/office/spreadsheetml/2017/richdata2" ref="A2:P17">
    <sortCondition ref="A1"/>
  </sortState>
  <mergeCells count="22">
    <mergeCell ref="A1:Q2"/>
    <mergeCell ref="Q6:Q7"/>
    <mergeCell ref="P6:P7"/>
    <mergeCell ref="O6:O7"/>
    <mergeCell ref="Q4:Q5"/>
    <mergeCell ref="P4:P5"/>
    <mergeCell ref="O4:O5"/>
    <mergeCell ref="Q8:Q9"/>
    <mergeCell ref="P8:P9"/>
    <mergeCell ref="O8:O9"/>
    <mergeCell ref="P10:P11"/>
    <mergeCell ref="Q16:Q17"/>
    <mergeCell ref="P16:P17"/>
    <mergeCell ref="O16:O17"/>
    <mergeCell ref="Q14:Q15"/>
    <mergeCell ref="P14:P15"/>
    <mergeCell ref="O14:O15"/>
    <mergeCell ref="Q12:Q13"/>
    <mergeCell ref="P12:P13"/>
    <mergeCell ref="O12:O13"/>
    <mergeCell ref="Q10:Q11"/>
    <mergeCell ref="O10:O11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A1:Q40"/>
  <sheetViews>
    <sheetView topLeftCell="A24" zoomScaleNormal="100" workbookViewId="0">
      <selection activeCell="R33" sqref="R33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42.28515625" style="2" bestFit="1" customWidth="1"/>
    <col min="8" max="8" width="24.140625" style="2" bestFit="1" customWidth="1"/>
    <col min="9" max="9" width="15.14062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7" t="s">
        <v>365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44473</v>
      </c>
      <c r="B4" s="11">
        <v>3029108</v>
      </c>
      <c r="C4" s="11" t="s">
        <v>50</v>
      </c>
      <c r="D4" s="125">
        <v>20885.12</v>
      </c>
      <c r="E4" s="11" t="s">
        <v>51</v>
      </c>
      <c r="F4" s="11" t="s">
        <v>46</v>
      </c>
      <c r="G4" s="11" t="s">
        <v>81</v>
      </c>
      <c r="H4" s="11" t="s">
        <v>306</v>
      </c>
      <c r="I4" s="11" t="s">
        <v>307</v>
      </c>
      <c r="J4" s="11" t="s">
        <v>308</v>
      </c>
      <c r="K4" s="11" t="s">
        <v>305</v>
      </c>
      <c r="L4" s="11">
        <v>120</v>
      </c>
      <c r="M4" s="11">
        <v>28700</v>
      </c>
      <c r="N4" s="11" t="s">
        <v>38</v>
      </c>
      <c r="O4" s="637">
        <v>6411.7318400000004</v>
      </c>
      <c r="P4" s="676">
        <f>O4/D4*100</f>
        <v>30.700000000000006</v>
      </c>
      <c r="Q4" s="630">
        <f>D4/(L4+L5)</f>
        <v>87.021333333333331</v>
      </c>
    </row>
    <row r="5" spans="1:17" ht="25.5" customHeight="1" x14ac:dyDescent="0.25">
      <c r="A5" s="10">
        <v>44474</v>
      </c>
      <c r="B5" s="11">
        <v>2816278</v>
      </c>
      <c r="C5" s="11" t="s">
        <v>9</v>
      </c>
      <c r="D5" s="125">
        <v>0</v>
      </c>
      <c r="E5" s="11"/>
      <c r="F5" s="11" t="s">
        <v>81</v>
      </c>
      <c r="G5" s="11" t="s">
        <v>46</v>
      </c>
      <c r="H5" s="11" t="s">
        <v>306</v>
      </c>
      <c r="I5" s="11" t="s">
        <v>307</v>
      </c>
      <c r="J5" s="11" t="s">
        <v>308</v>
      </c>
      <c r="K5" s="11" t="s">
        <v>305</v>
      </c>
      <c r="L5" s="11">
        <v>120</v>
      </c>
      <c r="M5" s="11">
        <v>0</v>
      </c>
      <c r="N5" s="11" t="s">
        <v>10</v>
      </c>
      <c r="O5" s="638"/>
      <c r="P5" s="677"/>
      <c r="Q5" s="630"/>
    </row>
    <row r="6" spans="1:17" ht="25.5" customHeight="1" x14ac:dyDescent="0.25">
      <c r="A6" s="16">
        <v>44474</v>
      </c>
      <c r="B6" s="17">
        <v>3029863</v>
      </c>
      <c r="C6" s="17" t="s">
        <v>50</v>
      </c>
      <c r="D6" s="128">
        <v>93545.85</v>
      </c>
      <c r="E6" s="17" t="s">
        <v>51</v>
      </c>
      <c r="F6" s="17" t="s">
        <v>46</v>
      </c>
      <c r="G6" s="17" t="s">
        <v>77</v>
      </c>
      <c r="H6" s="17" t="s">
        <v>306</v>
      </c>
      <c r="I6" s="17" t="s">
        <v>307</v>
      </c>
      <c r="J6" s="17" t="s">
        <v>308</v>
      </c>
      <c r="K6" s="17" t="s">
        <v>309</v>
      </c>
      <c r="L6" s="17">
        <v>640</v>
      </c>
      <c r="M6" s="17">
        <v>28400</v>
      </c>
      <c r="N6" s="17" t="s">
        <v>38</v>
      </c>
      <c r="O6" s="644">
        <v>28718.575949999999</v>
      </c>
      <c r="P6" s="674">
        <f>O6/D6*100</f>
        <v>30.699999999999996</v>
      </c>
      <c r="Q6" s="628">
        <f>D6/(L6+L7)</f>
        <v>73.082695312500007</v>
      </c>
    </row>
    <row r="7" spans="1:17" ht="25.5" customHeight="1" x14ac:dyDescent="0.25">
      <c r="A7" s="16">
        <v>44476</v>
      </c>
      <c r="B7" s="17">
        <v>2816386</v>
      </c>
      <c r="C7" s="17" t="s">
        <v>9</v>
      </c>
      <c r="D7" s="128">
        <v>0</v>
      </c>
      <c r="E7" s="17"/>
      <c r="F7" s="17" t="s">
        <v>77</v>
      </c>
      <c r="G7" s="17" t="s">
        <v>46</v>
      </c>
      <c r="H7" s="17" t="s">
        <v>306</v>
      </c>
      <c r="I7" s="17" t="s">
        <v>307</v>
      </c>
      <c r="J7" s="17" t="s">
        <v>308</v>
      </c>
      <c r="K7" s="17" t="s">
        <v>309</v>
      </c>
      <c r="L7" s="17">
        <v>640</v>
      </c>
      <c r="M7" s="17">
        <v>0</v>
      </c>
      <c r="N7" s="17" t="s">
        <v>10</v>
      </c>
      <c r="O7" s="645"/>
      <c r="P7" s="675"/>
      <c r="Q7" s="628"/>
    </row>
    <row r="8" spans="1:17" ht="25.5" customHeight="1" x14ac:dyDescent="0.25">
      <c r="A8" s="12">
        <v>44477</v>
      </c>
      <c r="B8" s="13">
        <v>3050309</v>
      </c>
      <c r="C8" s="13" t="s">
        <v>50</v>
      </c>
      <c r="D8" s="127">
        <v>110505.09</v>
      </c>
      <c r="E8" s="13" t="s">
        <v>68</v>
      </c>
      <c r="F8" s="13" t="s">
        <v>46</v>
      </c>
      <c r="G8" s="13" t="s">
        <v>94</v>
      </c>
      <c r="H8" s="13" t="s">
        <v>306</v>
      </c>
      <c r="I8" s="13" t="s">
        <v>307</v>
      </c>
      <c r="J8" s="13" t="s">
        <v>308</v>
      </c>
      <c r="K8" s="13" t="s">
        <v>309</v>
      </c>
      <c r="L8" s="13">
        <v>690</v>
      </c>
      <c r="M8" s="13">
        <v>28640</v>
      </c>
      <c r="N8" s="13" t="s">
        <v>38</v>
      </c>
      <c r="O8" s="640">
        <v>33925.06263</v>
      </c>
      <c r="P8" s="672">
        <f>O8/D8*100</f>
        <v>30.7</v>
      </c>
      <c r="Q8" s="634">
        <f>D8/(L8+L9)</f>
        <v>80.076152173913044</v>
      </c>
    </row>
    <row r="9" spans="1:17" ht="25.5" customHeight="1" x14ac:dyDescent="0.25">
      <c r="A9" s="12">
        <v>44481</v>
      </c>
      <c r="B9" s="13">
        <v>2816410</v>
      </c>
      <c r="C9" s="13" t="s">
        <v>9</v>
      </c>
      <c r="D9" s="127">
        <v>0</v>
      </c>
      <c r="E9" s="13"/>
      <c r="F9" s="13" t="s">
        <v>94</v>
      </c>
      <c r="G9" s="13" t="s">
        <v>46</v>
      </c>
      <c r="H9" s="13" t="s">
        <v>306</v>
      </c>
      <c r="I9" s="13" t="s">
        <v>307</v>
      </c>
      <c r="J9" s="13" t="s">
        <v>308</v>
      </c>
      <c r="K9" s="13" t="s">
        <v>309</v>
      </c>
      <c r="L9" s="13">
        <v>690</v>
      </c>
      <c r="M9" s="13">
        <v>0</v>
      </c>
      <c r="N9" s="13" t="s">
        <v>10</v>
      </c>
      <c r="O9" s="642"/>
      <c r="P9" s="673"/>
      <c r="Q9" s="634"/>
    </row>
    <row r="10" spans="1:17" ht="25.5" customHeight="1" x14ac:dyDescent="0.25">
      <c r="A10" s="14">
        <v>44481</v>
      </c>
      <c r="B10" s="15">
        <v>3032262</v>
      </c>
      <c r="C10" s="15" t="s">
        <v>50</v>
      </c>
      <c r="D10" s="129">
        <v>82329</v>
      </c>
      <c r="E10" s="15" t="s">
        <v>68</v>
      </c>
      <c r="F10" s="15" t="s">
        <v>46</v>
      </c>
      <c r="G10" s="15" t="s">
        <v>290</v>
      </c>
      <c r="H10" s="15" t="s">
        <v>306</v>
      </c>
      <c r="I10" s="15" t="s">
        <v>307</v>
      </c>
      <c r="J10" s="15" t="s">
        <v>308</v>
      </c>
      <c r="K10" s="15" t="s">
        <v>309</v>
      </c>
      <c r="L10" s="15">
        <v>540</v>
      </c>
      <c r="M10" s="15">
        <v>28640</v>
      </c>
      <c r="N10" s="15" t="s">
        <v>38</v>
      </c>
      <c r="O10" s="647">
        <v>25275.003000000001</v>
      </c>
      <c r="P10" s="678">
        <f>O10/D10*100</f>
        <v>30.7</v>
      </c>
      <c r="Q10" s="632">
        <f>D10/(L10+L11)</f>
        <v>76.230555555555554</v>
      </c>
    </row>
    <row r="11" spans="1:17" ht="25.5" customHeight="1" x14ac:dyDescent="0.25">
      <c r="A11" s="14">
        <v>44483</v>
      </c>
      <c r="B11" s="15">
        <v>2816540</v>
      </c>
      <c r="C11" s="15" t="s">
        <v>9</v>
      </c>
      <c r="D11" s="129">
        <v>0</v>
      </c>
      <c r="E11" s="15"/>
      <c r="F11" s="15" t="s">
        <v>290</v>
      </c>
      <c r="G11" s="15" t="s">
        <v>46</v>
      </c>
      <c r="H11" s="15" t="s">
        <v>306</v>
      </c>
      <c r="I11" s="15" t="s">
        <v>307</v>
      </c>
      <c r="J11" s="15" t="s">
        <v>308</v>
      </c>
      <c r="K11" s="15" t="s">
        <v>309</v>
      </c>
      <c r="L11" s="15">
        <v>540</v>
      </c>
      <c r="M11" s="15">
        <v>0</v>
      </c>
      <c r="N11" s="15" t="s">
        <v>10</v>
      </c>
      <c r="O11" s="648"/>
      <c r="P11" s="679"/>
      <c r="Q11" s="632"/>
    </row>
    <row r="12" spans="1:17" ht="25.5" customHeight="1" x14ac:dyDescent="0.25">
      <c r="A12" s="10">
        <v>44484</v>
      </c>
      <c r="B12" s="11">
        <v>3034478</v>
      </c>
      <c r="C12" s="11" t="s">
        <v>50</v>
      </c>
      <c r="D12" s="125">
        <v>89296.43</v>
      </c>
      <c r="E12" s="11" t="s">
        <v>68</v>
      </c>
      <c r="F12" s="11" t="s">
        <v>46</v>
      </c>
      <c r="G12" s="11" t="s">
        <v>148</v>
      </c>
      <c r="H12" s="11" t="s">
        <v>306</v>
      </c>
      <c r="I12" s="11" t="s">
        <v>307</v>
      </c>
      <c r="J12" s="11" t="s">
        <v>308</v>
      </c>
      <c r="K12" s="11" t="s">
        <v>309</v>
      </c>
      <c r="L12" s="11">
        <v>560</v>
      </c>
      <c r="M12" s="11">
        <v>28660</v>
      </c>
      <c r="N12" s="11" t="s">
        <v>38</v>
      </c>
      <c r="O12" s="637">
        <v>27414.004010000001</v>
      </c>
      <c r="P12" s="676">
        <f>O12/D12*100</f>
        <v>30.700000000000006</v>
      </c>
      <c r="Q12" s="630">
        <f>D12/(L12+L13)</f>
        <v>79.728955357142851</v>
      </c>
    </row>
    <row r="13" spans="1:17" ht="25.5" customHeight="1" x14ac:dyDescent="0.25">
      <c r="A13" s="10">
        <v>44485</v>
      </c>
      <c r="B13" s="11">
        <v>2816539</v>
      </c>
      <c r="C13" s="11" t="s">
        <v>9</v>
      </c>
      <c r="D13" s="125">
        <v>0</v>
      </c>
      <c r="E13" s="11"/>
      <c r="F13" s="11" t="s">
        <v>148</v>
      </c>
      <c r="G13" s="11" t="s">
        <v>46</v>
      </c>
      <c r="H13" s="11" t="s">
        <v>306</v>
      </c>
      <c r="I13" s="11" t="s">
        <v>307</v>
      </c>
      <c r="J13" s="11" t="s">
        <v>308</v>
      </c>
      <c r="K13" s="11" t="s">
        <v>309</v>
      </c>
      <c r="L13" s="11">
        <v>560</v>
      </c>
      <c r="M13" s="11">
        <v>0</v>
      </c>
      <c r="N13" s="11" t="s">
        <v>10</v>
      </c>
      <c r="O13" s="638"/>
      <c r="P13" s="677"/>
      <c r="Q13" s="630"/>
    </row>
    <row r="14" spans="1:17" ht="25.5" customHeight="1" x14ac:dyDescent="0.25">
      <c r="A14" s="16">
        <v>44487</v>
      </c>
      <c r="B14" s="17">
        <v>3035113</v>
      </c>
      <c r="C14" s="17" t="s">
        <v>50</v>
      </c>
      <c r="D14" s="128">
        <v>101960.46</v>
      </c>
      <c r="E14" s="17" t="s">
        <v>68</v>
      </c>
      <c r="F14" s="17" t="s">
        <v>46</v>
      </c>
      <c r="G14" s="17" t="s">
        <v>94</v>
      </c>
      <c r="H14" s="17" t="s">
        <v>306</v>
      </c>
      <c r="I14" s="17" t="s">
        <v>307</v>
      </c>
      <c r="J14" s="17" t="s">
        <v>308</v>
      </c>
      <c r="K14" s="17" t="s">
        <v>309</v>
      </c>
      <c r="L14" s="17">
        <v>690</v>
      </c>
      <c r="M14" s="17">
        <v>28540</v>
      </c>
      <c r="N14" s="17" t="s">
        <v>38</v>
      </c>
      <c r="O14" s="644">
        <v>31301.861219999999</v>
      </c>
      <c r="P14" s="674">
        <f>O14/D14*100</f>
        <v>30.7</v>
      </c>
      <c r="Q14" s="628">
        <f>D14/(L14+L15)</f>
        <v>73.88439130434783</v>
      </c>
    </row>
    <row r="15" spans="1:17" ht="25.5" customHeight="1" x14ac:dyDescent="0.25">
      <c r="A15" s="16">
        <v>44488</v>
      </c>
      <c r="B15" s="17">
        <v>2816538</v>
      </c>
      <c r="C15" s="17" t="s">
        <v>9</v>
      </c>
      <c r="D15" s="128">
        <v>0</v>
      </c>
      <c r="E15" s="17"/>
      <c r="F15" s="17" t="s">
        <v>94</v>
      </c>
      <c r="G15" s="17" t="s">
        <v>46</v>
      </c>
      <c r="H15" s="17" t="s">
        <v>306</v>
      </c>
      <c r="I15" s="17" t="s">
        <v>307</v>
      </c>
      <c r="J15" s="17" t="s">
        <v>308</v>
      </c>
      <c r="K15" s="17" t="s">
        <v>309</v>
      </c>
      <c r="L15" s="17">
        <v>690</v>
      </c>
      <c r="M15" s="17">
        <v>0</v>
      </c>
      <c r="N15" s="17" t="s">
        <v>10</v>
      </c>
      <c r="O15" s="645"/>
      <c r="P15" s="675"/>
      <c r="Q15" s="628"/>
    </row>
    <row r="16" spans="1:17" ht="25.5" customHeight="1" x14ac:dyDescent="0.25">
      <c r="A16" s="12">
        <v>44488</v>
      </c>
      <c r="B16" s="13">
        <v>3034538</v>
      </c>
      <c r="C16" s="13" t="s">
        <v>50</v>
      </c>
      <c r="D16" s="127">
        <v>101764.87</v>
      </c>
      <c r="E16" s="13" t="s">
        <v>68</v>
      </c>
      <c r="F16" s="13" t="s">
        <v>46</v>
      </c>
      <c r="G16" s="13" t="s">
        <v>310</v>
      </c>
      <c r="H16" s="13" t="s">
        <v>306</v>
      </c>
      <c r="I16" s="13" t="s">
        <v>307</v>
      </c>
      <c r="J16" s="13" t="s">
        <v>308</v>
      </c>
      <c r="K16" s="13" t="s">
        <v>309</v>
      </c>
      <c r="L16" s="13">
        <v>640</v>
      </c>
      <c r="M16" s="13">
        <v>28440</v>
      </c>
      <c r="N16" s="13" t="s">
        <v>38</v>
      </c>
      <c r="O16" s="640">
        <v>31241.81509</v>
      </c>
      <c r="P16" s="672">
        <f>O16/D16*100</f>
        <v>30.7</v>
      </c>
      <c r="Q16" s="634">
        <f>D16/(L16+L17)</f>
        <v>79.503804687499994</v>
      </c>
    </row>
    <row r="17" spans="1:17" ht="25.5" customHeight="1" x14ac:dyDescent="0.25">
      <c r="A17" s="12">
        <v>44489</v>
      </c>
      <c r="B17" s="13">
        <v>2816560</v>
      </c>
      <c r="C17" s="13" t="s">
        <v>9</v>
      </c>
      <c r="D17" s="127">
        <v>0</v>
      </c>
      <c r="E17" s="13"/>
      <c r="F17" s="13" t="s">
        <v>310</v>
      </c>
      <c r="G17" s="13" t="s">
        <v>46</v>
      </c>
      <c r="H17" s="13" t="s">
        <v>306</v>
      </c>
      <c r="I17" s="13" t="s">
        <v>307</v>
      </c>
      <c r="J17" s="13" t="s">
        <v>308</v>
      </c>
      <c r="K17" s="13" t="s">
        <v>309</v>
      </c>
      <c r="L17" s="13">
        <v>640</v>
      </c>
      <c r="M17" s="13">
        <v>0</v>
      </c>
      <c r="N17" s="13" t="s">
        <v>10</v>
      </c>
      <c r="O17" s="642"/>
      <c r="P17" s="673"/>
      <c r="Q17" s="634"/>
    </row>
    <row r="18" spans="1:17" ht="25.5" customHeight="1" x14ac:dyDescent="0.25">
      <c r="A18" s="14">
        <v>44490</v>
      </c>
      <c r="B18" s="15">
        <v>3036800</v>
      </c>
      <c r="C18" s="15" t="s">
        <v>50</v>
      </c>
      <c r="D18" s="129">
        <v>20841.45</v>
      </c>
      <c r="E18" s="15" t="s">
        <v>68</v>
      </c>
      <c r="F18" s="15" t="s">
        <v>46</v>
      </c>
      <c r="G18" s="15" t="s">
        <v>81</v>
      </c>
      <c r="H18" s="15" t="s">
        <v>306</v>
      </c>
      <c r="I18" s="15" t="s">
        <v>307</v>
      </c>
      <c r="J18" s="15" t="s">
        <v>308</v>
      </c>
      <c r="K18" s="15" t="s">
        <v>309</v>
      </c>
      <c r="L18" s="15">
        <v>120</v>
      </c>
      <c r="M18" s="15">
        <v>28640</v>
      </c>
      <c r="N18" s="15" t="s">
        <v>38</v>
      </c>
      <c r="O18" s="647">
        <v>6398.3251499999997</v>
      </c>
      <c r="P18" s="678">
        <f>O18/D18*100</f>
        <v>30.7</v>
      </c>
      <c r="Q18" s="632">
        <f>D18/(L18+L19)</f>
        <v>86.839375000000004</v>
      </c>
    </row>
    <row r="19" spans="1:17" ht="25.5" customHeight="1" x14ac:dyDescent="0.25">
      <c r="A19" s="14">
        <v>44490</v>
      </c>
      <c r="B19" s="15">
        <v>2816561</v>
      </c>
      <c r="C19" s="15" t="s">
        <v>9</v>
      </c>
      <c r="D19" s="129">
        <v>0</v>
      </c>
      <c r="E19" s="15"/>
      <c r="F19" s="15" t="s">
        <v>81</v>
      </c>
      <c r="G19" s="15" t="s">
        <v>46</v>
      </c>
      <c r="H19" s="15" t="s">
        <v>306</v>
      </c>
      <c r="I19" s="15" t="s">
        <v>307</v>
      </c>
      <c r="J19" s="15" t="s">
        <v>308</v>
      </c>
      <c r="K19" s="15" t="s">
        <v>309</v>
      </c>
      <c r="L19" s="15">
        <v>120</v>
      </c>
      <c r="M19" s="15">
        <v>0</v>
      </c>
      <c r="N19" s="15" t="s">
        <v>10</v>
      </c>
      <c r="O19" s="648"/>
      <c r="P19" s="679"/>
      <c r="Q19" s="632"/>
    </row>
    <row r="20" spans="1:17" ht="25.5" customHeight="1" x14ac:dyDescent="0.25">
      <c r="A20" s="10">
        <v>44492</v>
      </c>
      <c r="B20" s="11">
        <v>3038543</v>
      </c>
      <c r="C20" s="11" t="s">
        <v>50</v>
      </c>
      <c r="D20" s="125">
        <v>99962.44</v>
      </c>
      <c r="E20" s="11" t="s">
        <v>68</v>
      </c>
      <c r="F20" s="11" t="s">
        <v>46</v>
      </c>
      <c r="G20" s="11" t="s">
        <v>131</v>
      </c>
      <c r="H20" s="11" t="s">
        <v>306</v>
      </c>
      <c r="I20" s="11" t="s">
        <v>307</v>
      </c>
      <c r="J20" s="11" t="s">
        <v>308</v>
      </c>
      <c r="K20" s="11" t="s">
        <v>309</v>
      </c>
      <c r="L20" s="11">
        <v>672</v>
      </c>
      <c r="M20" s="11">
        <v>28460</v>
      </c>
      <c r="N20" s="11" t="s">
        <v>38</v>
      </c>
      <c r="O20" s="637">
        <v>30688.469079999999</v>
      </c>
      <c r="P20" s="676">
        <f>O20/D20*100</f>
        <v>30.7</v>
      </c>
      <c r="Q20" s="630">
        <f>D20/(L20+L21)</f>
        <v>74.376815476190473</v>
      </c>
    </row>
    <row r="21" spans="1:17" ht="25.5" customHeight="1" x14ac:dyDescent="0.25">
      <c r="A21" s="10">
        <v>44494</v>
      </c>
      <c r="B21" s="11">
        <v>2816595</v>
      </c>
      <c r="C21" s="11" t="s">
        <v>9</v>
      </c>
      <c r="D21" s="125">
        <v>0</v>
      </c>
      <c r="E21" s="11"/>
      <c r="F21" s="11" t="s">
        <v>131</v>
      </c>
      <c r="G21" s="11" t="s">
        <v>46</v>
      </c>
      <c r="H21" s="11" t="s">
        <v>306</v>
      </c>
      <c r="I21" s="11" t="s">
        <v>307</v>
      </c>
      <c r="J21" s="11" t="s">
        <v>308</v>
      </c>
      <c r="K21" s="11" t="s">
        <v>309</v>
      </c>
      <c r="L21" s="11">
        <v>672</v>
      </c>
      <c r="M21" s="11">
        <v>0</v>
      </c>
      <c r="N21" s="11" t="s">
        <v>10</v>
      </c>
      <c r="O21" s="638"/>
      <c r="P21" s="677"/>
      <c r="Q21" s="630"/>
    </row>
    <row r="22" spans="1:17" ht="25.5" customHeight="1" x14ac:dyDescent="0.25">
      <c r="A22" s="16">
        <v>44495</v>
      </c>
      <c r="B22" s="17">
        <v>3039894</v>
      </c>
      <c r="C22" s="17" t="s">
        <v>50</v>
      </c>
      <c r="D22" s="128">
        <v>101836.43</v>
      </c>
      <c r="E22" s="17" t="s">
        <v>68</v>
      </c>
      <c r="F22" s="17" t="s">
        <v>46</v>
      </c>
      <c r="G22" s="17" t="s">
        <v>93</v>
      </c>
      <c r="H22" s="17" t="s">
        <v>306</v>
      </c>
      <c r="I22" s="17" t="s">
        <v>307</v>
      </c>
      <c r="J22" s="17" t="s">
        <v>308</v>
      </c>
      <c r="K22" s="17" t="s">
        <v>309</v>
      </c>
      <c r="L22" s="17">
        <v>660</v>
      </c>
      <c r="M22" s="17">
        <v>28460</v>
      </c>
      <c r="N22" s="17" t="s">
        <v>38</v>
      </c>
      <c r="O22" s="644">
        <v>31263.784009999999</v>
      </c>
      <c r="P22" s="674">
        <f>O22/D22*100</f>
        <v>30.7</v>
      </c>
      <c r="Q22" s="628">
        <f>D22/(L22+L23)</f>
        <v>77.148810606060607</v>
      </c>
    </row>
    <row r="23" spans="1:17" ht="25.5" customHeight="1" x14ac:dyDescent="0.25">
      <c r="A23" s="16">
        <v>44497</v>
      </c>
      <c r="B23" s="17">
        <v>2816620</v>
      </c>
      <c r="C23" s="17" t="s">
        <v>9</v>
      </c>
      <c r="D23" s="128">
        <v>0</v>
      </c>
      <c r="E23" s="17"/>
      <c r="F23" s="17" t="s">
        <v>93</v>
      </c>
      <c r="G23" s="17" t="s">
        <v>46</v>
      </c>
      <c r="H23" s="17" t="s">
        <v>306</v>
      </c>
      <c r="I23" s="17" t="s">
        <v>307</v>
      </c>
      <c r="J23" s="17" t="s">
        <v>308</v>
      </c>
      <c r="K23" s="17" t="s">
        <v>309</v>
      </c>
      <c r="L23" s="17">
        <v>660</v>
      </c>
      <c r="M23" s="17">
        <v>0</v>
      </c>
      <c r="N23" s="17" t="s">
        <v>10</v>
      </c>
      <c r="O23" s="645"/>
      <c r="P23" s="675"/>
      <c r="Q23" s="628"/>
    </row>
    <row r="24" spans="1:17" ht="25.5" customHeight="1" x14ac:dyDescent="0.25">
      <c r="A24" s="12">
        <v>44498</v>
      </c>
      <c r="B24" s="13">
        <v>3041570</v>
      </c>
      <c r="C24" s="13" t="s">
        <v>50</v>
      </c>
      <c r="D24" s="127">
        <v>108902.13</v>
      </c>
      <c r="E24" s="13" t="s">
        <v>68</v>
      </c>
      <c r="F24" s="13" t="s">
        <v>46</v>
      </c>
      <c r="G24" s="13" t="s">
        <v>126</v>
      </c>
      <c r="H24" s="13" t="s">
        <v>306</v>
      </c>
      <c r="I24" s="13" t="s">
        <v>307</v>
      </c>
      <c r="J24" s="13" t="s">
        <v>308</v>
      </c>
      <c r="K24" s="13" t="s">
        <v>309</v>
      </c>
      <c r="L24" s="13">
        <v>671</v>
      </c>
      <c r="M24" s="13">
        <v>28680</v>
      </c>
      <c r="N24" s="13" t="s">
        <v>38</v>
      </c>
      <c r="O24" s="640">
        <v>33432.953909999997</v>
      </c>
      <c r="P24" s="672">
        <f>O24/D24*100</f>
        <v>30.699999999999996</v>
      </c>
      <c r="Q24" s="634">
        <f>D24/(L24+L25)</f>
        <v>81.149128166915062</v>
      </c>
    </row>
    <row r="25" spans="1:17" ht="25.5" customHeight="1" x14ac:dyDescent="0.25">
      <c r="A25" s="79">
        <v>44498</v>
      </c>
      <c r="B25" s="80">
        <v>2816650</v>
      </c>
      <c r="C25" s="80" t="s">
        <v>9</v>
      </c>
      <c r="D25" s="130">
        <v>0</v>
      </c>
      <c r="E25" s="80"/>
      <c r="F25" s="80" t="s">
        <v>126</v>
      </c>
      <c r="G25" s="80" t="s">
        <v>46</v>
      </c>
      <c r="H25" s="80" t="s">
        <v>306</v>
      </c>
      <c r="I25" s="80" t="s">
        <v>307</v>
      </c>
      <c r="J25" s="80" t="s">
        <v>308</v>
      </c>
      <c r="K25" s="80" t="s">
        <v>309</v>
      </c>
      <c r="L25" s="80">
        <v>671</v>
      </c>
      <c r="M25" s="80">
        <v>0</v>
      </c>
      <c r="N25" s="80" t="s">
        <v>10</v>
      </c>
      <c r="O25" s="642"/>
      <c r="P25" s="673"/>
      <c r="Q25" s="634"/>
    </row>
    <row r="26" spans="1:17" x14ac:dyDescent="0.25">
      <c r="A26" s="9"/>
      <c r="B26" s="9"/>
      <c r="C26" s="9"/>
      <c r="D26" s="18">
        <f>SUM(D4:D25)</f>
        <v>931829.2699999999</v>
      </c>
      <c r="E26" s="9"/>
      <c r="F26" s="9"/>
      <c r="G26" s="9"/>
      <c r="H26" s="9"/>
      <c r="I26" s="9"/>
      <c r="J26" s="9"/>
      <c r="K26" s="9"/>
      <c r="L26" s="9">
        <f>SUM(L4:L25)</f>
        <v>12006</v>
      </c>
      <c r="M26" s="9"/>
      <c r="N26" s="9"/>
      <c r="O26" s="24">
        <f>SUM(O4:O25)</f>
        <v>286071.58588999999</v>
      </c>
      <c r="P26" s="28">
        <f>O26/D26*100</f>
        <v>30.7</v>
      </c>
      <c r="Q26" s="26">
        <f>D26/L26</f>
        <v>77.613632350491415</v>
      </c>
    </row>
    <row r="28" spans="1:17" x14ac:dyDescent="0.25">
      <c r="A28" s="99" t="s">
        <v>322</v>
      </c>
      <c r="B28" s="100" t="s">
        <v>328</v>
      </c>
      <c r="C28" s="101"/>
      <c r="D28" s="102"/>
    </row>
    <row r="29" spans="1:17" x14ac:dyDescent="0.25">
      <c r="A29" s="103">
        <f>D26/L26</f>
        <v>77.613632350491415</v>
      </c>
      <c r="B29" s="9"/>
      <c r="C29" s="104"/>
      <c r="D29" s="105"/>
    </row>
    <row r="30" spans="1:17" x14ac:dyDescent="0.25">
      <c r="D30" s="25"/>
    </row>
    <row r="31" spans="1:17" x14ac:dyDescent="0.25">
      <c r="A31" s="36"/>
      <c r="B31" s="36" t="s">
        <v>329</v>
      </c>
      <c r="C31" s="36" t="s">
        <v>330</v>
      </c>
      <c r="D31" s="106" t="s">
        <v>309</v>
      </c>
    </row>
    <row r="32" spans="1:17" x14ac:dyDescent="0.25">
      <c r="A32" s="7" t="s">
        <v>331</v>
      </c>
      <c r="B32" s="42">
        <f>D26</f>
        <v>931829.2699999999</v>
      </c>
      <c r="C32" s="45">
        <f>B33</f>
        <v>286071.58588999999</v>
      </c>
      <c r="D32" s="46">
        <f>C32/B32</f>
        <v>0.307</v>
      </c>
    </row>
    <row r="33" spans="1:4" x14ac:dyDescent="0.25">
      <c r="A33" s="47" t="s">
        <v>27</v>
      </c>
      <c r="B33" s="24">
        <f>O26</f>
        <v>286071.58588999999</v>
      </c>
      <c r="C33" s="9"/>
      <c r="D33" s="25"/>
    </row>
    <row r="34" spans="1:4" x14ac:dyDescent="0.25">
      <c r="A34" s="48" t="s">
        <v>332</v>
      </c>
      <c r="B34" s="107"/>
      <c r="C34" s="49">
        <f>(12*(78578.313+12454.55))/(150000+80000)*L26</f>
        <v>57022.985383200001</v>
      </c>
      <c r="D34" s="25"/>
    </row>
    <row r="35" spans="1:4" x14ac:dyDescent="0.25">
      <c r="A35" s="48" t="s">
        <v>335</v>
      </c>
      <c r="B35" s="107"/>
      <c r="C35" s="42"/>
      <c r="D35" s="25"/>
    </row>
    <row r="36" spans="1:4" x14ac:dyDescent="0.25">
      <c r="A36" s="48" t="s">
        <v>336</v>
      </c>
      <c r="B36" s="107"/>
      <c r="C36" s="42">
        <f>'PATENTE MUNICIPAL'!I37</f>
        <v>20.833333333333332</v>
      </c>
      <c r="D36" s="25"/>
    </row>
    <row r="37" spans="1:4" x14ac:dyDescent="0.25">
      <c r="A37" s="48" t="s">
        <v>337</v>
      </c>
      <c r="B37" s="107"/>
      <c r="C37" s="42">
        <f>SEGURO!K41</f>
        <v>261.09831688804553</v>
      </c>
      <c r="D37" s="25"/>
    </row>
    <row r="38" spans="1:4" x14ac:dyDescent="0.25">
      <c r="A38" s="48" t="s">
        <v>339</v>
      </c>
      <c r="B38" s="107"/>
      <c r="C38" s="42">
        <f>'GASTOS SEMI'!H91</f>
        <v>14072.37</v>
      </c>
      <c r="D38" s="25"/>
    </row>
    <row r="39" spans="1:4" x14ac:dyDescent="0.25">
      <c r="A39" s="48" t="s">
        <v>340</v>
      </c>
      <c r="B39" s="107"/>
      <c r="C39" s="51">
        <f>SUM(C34:C38)</f>
        <v>71377.28703342138</v>
      </c>
      <c r="D39" s="25"/>
    </row>
    <row r="40" spans="1:4" x14ac:dyDescent="0.25">
      <c r="A40" s="36" t="s">
        <v>341</v>
      </c>
      <c r="B40" s="107"/>
      <c r="C40" s="53">
        <f>C32-C33-C39</f>
        <v>214694.29885657859</v>
      </c>
      <c r="D40" s="106">
        <f>+B40+C40</f>
        <v>214694.29885657859</v>
      </c>
    </row>
  </sheetData>
  <sortState xmlns:xlrd2="http://schemas.microsoft.com/office/spreadsheetml/2017/richdata2" ref="A2:P24">
    <sortCondition ref="A1"/>
  </sortState>
  <mergeCells count="34">
    <mergeCell ref="Q4:Q5"/>
    <mergeCell ref="P4:P5"/>
    <mergeCell ref="O4:O5"/>
    <mergeCell ref="A1:Q2"/>
    <mergeCell ref="Q8:Q9"/>
    <mergeCell ref="P8:P9"/>
    <mergeCell ref="O8:O9"/>
    <mergeCell ref="Q6:Q7"/>
    <mergeCell ref="P6:P7"/>
    <mergeCell ref="O6:O7"/>
    <mergeCell ref="Q12:Q13"/>
    <mergeCell ref="P12:P13"/>
    <mergeCell ref="O12:O13"/>
    <mergeCell ref="Q10:Q11"/>
    <mergeCell ref="P10:P11"/>
    <mergeCell ref="O10:O11"/>
    <mergeCell ref="Q16:Q17"/>
    <mergeCell ref="P16:P17"/>
    <mergeCell ref="O16:O17"/>
    <mergeCell ref="Q14:Q15"/>
    <mergeCell ref="P14:P15"/>
    <mergeCell ref="O14:O15"/>
    <mergeCell ref="Q20:Q21"/>
    <mergeCell ref="P20:P21"/>
    <mergeCell ref="O20:O21"/>
    <mergeCell ref="Q18:Q19"/>
    <mergeCell ref="P18:P19"/>
    <mergeCell ref="O18:O19"/>
    <mergeCell ref="Q24:Q25"/>
    <mergeCell ref="P24:P25"/>
    <mergeCell ref="O24:O25"/>
    <mergeCell ref="Q22:Q23"/>
    <mergeCell ref="P22:P23"/>
    <mergeCell ref="O22:O2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A1:Q35"/>
  <sheetViews>
    <sheetView topLeftCell="A19" zoomScaleNormal="100" workbookViewId="0">
      <selection activeCell="E27" sqref="E27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6" width="42.28515625" style="2" bestFit="1" customWidth="1"/>
    <col min="7" max="7" width="27.7109375" style="2" bestFit="1" customWidth="1"/>
    <col min="8" max="9" width="21.4257812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7" t="s">
        <v>366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2816262</v>
      </c>
      <c r="C4" s="4" t="s">
        <v>9</v>
      </c>
      <c r="D4" s="5">
        <v>0</v>
      </c>
      <c r="E4" s="4"/>
      <c r="F4" s="4" t="s">
        <v>96</v>
      </c>
      <c r="G4" s="4" t="s">
        <v>46</v>
      </c>
      <c r="H4" s="4" t="s">
        <v>223</v>
      </c>
      <c r="I4" s="4" t="s">
        <v>223</v>
      </c>
      <c r="J4" s="4" t="s">
        <v>224</v>
      </c>
      <c r="K4" s="4" t="s">
        <v>225</v>
      </c>
      <c r="L4" s="4">
        <v>232</v>
      </c>
      <c r="M4" s="4">
        <v>0</v>
      </c>
      <c r="N4" s="4" t="s">
        <v>10</v>
      </c>
      <c r="O4" s="5">
        <v>0</v>
      </c>
      <c r="P4" s="137">
        <v>0</v>
      </c>
      <c r="Q4" s="24">
        <v>0</v>
      </c>
    </row>
    <row r="5" spans="1:17" ht="25.5" customHeight="1" x14ac:dyDescent="0.25">
      <c r="A5" s="10">
        <v>44473</v>
      </c>
      <c r="B5" s="11">
        <v>3028622</v>
      </c>
      <c r="C5" s="11" t="s">
        <v>50</v>
      </c>
      <c r="D5" s="125">
        <v>98979.07</v>
      </c>
      <c r="E5" s="11" t="s">
        <v>51</v>
      </c>
      <c r="F5" s="11" t="s">
        <v>46</v>
      </c>
      <c r="G5" s="11" t="s">
        <v>79</v>
      </c>
      <c r="H5" s="11" t="s">
        <v>223</v>
      </c>
      <c r="I5" s="11" t="s">
        <v>223</v>
      </c>
      <c r="J5" s="11" t="s">
        <v>224</v>
      </c>
      <c r="K5" s="11" t="s">
        <v>225</v>
      </c>
      <c r="L5" s="11">
        <v>672</v>
      </c>
      <c r="M5" s="11">
        <v>28340</v>
      </c>
      <c r="N5" s="11" t="s">
        <v>38</v>
      </c>
      <c r="O5" s="637">
        <v>30386.574489999999</v>
      </c>
      <c r="P5" s="676">
        <f>O5/D5*100</f>
        <v>30.7</v>
      </c>
      <c r="Q5" s="630">
        <f>D5/(L5+L6)</f>
        <v>73.645141369047622</v>
      </c>
    </row>
    <row r="6" spans="1:17" ht="25.5" customHeight="1" x14ac:dyDescent="0.25">
      <c r="A6" s="10">
        <v>44475</v>
      </c>
      <c r="B6" s="11">
        <v>2816315</v>
      </c>
      <c r="C6" s="11" t="s">
        <v>9</v>
      </c>
      <c r="D6" s="125">
        <v>0</v>
      </c>
      <c r="E6" s="11"/>
      <c r="F6" s="11" t="s">
        <v>79</v>
      </c>
      <c r="G6" s="11" t="s">
        <v>46</v>
      </c>
      <c r="H6" s="11" t="s">
        <v>223</v>
      </c>
      <c r="I6" s="11" t="s">
        <v>223</v>
      </c>
      <c r="J6" s="11" t="s">
        <v>224</v>
      </c>
      <c r="K6" s="11" t="s">
        <v>225</v>
      </c>
      <c r="L6" s="11">
        <v>672</v>
      </c>
      <c r="M6" s="11">
        <v>0</v>
      </c>
      <c r="N6" s="11" t="s">
        <v>10</v>
      </c>
      <c r="O6" s="638"/>
      <c r="P6" s="677"/>
      <c r="Q6" s="630"/>
    </row>
    <row r="7" spans="1:17" ht="25.5" customHeight="1" x14ac:dyDescent="0.25">
      <c r="A7" s="16">
        <v>44476</v>
      </c>
      <c r="B7" s="17">
        <v>3030926</v>
      </c>
      <c r="C7" s="17" t="s">
        <v>50</v>
      </c>
      <c r="D7" s="128">
        <v>101525.98</v>
      </c>
      <c r="E7" s="17" t="s">
        <v>51</v>
      </c>
      <c r="F7" s="17" t="s">
        <v>46</v>
      </c>
      <c r="G7" s="17" t="s">
        <v>45</v>
      </c>
      <c r="H7" s="17" t="s">
        <v>223</v>
      </c>
      <c r="I7" s="17" t="s">
        <v>223</v>
      </c>
      <c r="J7" s="17" t="s">
        <v>224</v>
      </c>
      <c r="K7" s="17" t="s">
        <v>225</v>
      </c>
      <c r="L7" s="17">
        <v>648</v>
      </c>
      <c r="M7" s="17">
        <v>28500</v>
      </c>
      <c r="N7" s="17" t="s">
        <v>38</v>
      </c>
      <c r="O7" s="644">
        <v>31168.475859999999</v>
      </c>
      <c r="P7" s="674">
        <f>O7/D7*100</f>
        <v>30.7</v>
      </c>
      <c r="Q7" s="628">
        <f>D7/(L7+L8)</f>
        <v>78.337947530864199</v>
      </c>
    </row>
    <row r="8" spans="1:17" ht="25.5" customHeight="1" x14ac:dyDescent="0.25">
      <c r="A8" s="16">
        <v>44477</v>
      </c>
      <c r="B8" s="17">
        <v>2816405</v>
      </c>
      <c r="C8" s="17" t="s">
        <v>9</v>
      </c>
      <c r="D8" s="128">
        <v>0</v>
      </c>
      <c r="E8" s="17"/>
      <c r="F8" s="17" t="s">
        <v>45</v>
      </c>
      <c r="G8" s="17" t="s">
        <v>46</v>
      </c>
      <c r="H8" s="17" t="s">
        <v>223</v>
      </c>
      <c r="I8" s="17" t="s">
        <v>223</v>
      </c>
      <c r="J8" s="17" t="s">
        <v>224</v>
      </c>
      <c r="K8" s="17" t="s">
        <v>225</v>
      </c>
      <c r="L8" s="17">
        <v>648</v>
      </c>
      <c r="M8" s="17">
        <v>0</v>
      </c>
      <c r="N8" s="17" t="s">
        <v>10</v>
      </c>
      <c r="O8" s="645"/>
      <c r="P8" s="675"/>
      <c r="Q8" s="628"/>
    </row>
    <row r="9" spans="1:17" ht="25.5" customHeight="1" x14ac:dyDescent="0.25">
      <c r="A9" s="12">
        <v>44481</v>
      </c>
      <c r="B9" s="13">
        <v>3032250</v>
      </c>
      <c r="C9" s="13" t="s">
        <v>50</v>
      </c>
      <c r="D9" s="127">
        <v>101312.23</v>
      </c>
      <c r="E9" s="13" t="s">
        <v>68</v>
      </c>
      <c r="F9" s="13" t="s">
        <v>46</v>
      </c>
      <c r="G9" s="13" t="s">
        <v>45</v>
      </c>
      <c r="H9" s="13" t="s">
        <v>223</v>
      </c>
      <c r="I9" s="13" t="s">
        <v>223</v>
      </c>
      <c r="J9" s="13" t="s">
        <v>224</v>
      </c>
      <c r="K9" s="13" t="s">
        <v>225</v>
      </c>
      <c r="L9" s="13">
        <v>648</v>
      </c>
      <c r="M9" s="13">
        <v>28580</v>
      </c>
      <c r="N9" s="13" t="s">
        <v>38</v>
      </c>
      <c r="O9" s="640">
        <v>31102.854609999999</v>
      </c>
      <c r="P9" s="672">
        <f>O9/D9*100</f>
        <v>30.7</v>
      </c>
      <c r="Q9" s="634">
        <f>D9/(L9+L10)</f>
        <v>78.173016975308641</v>
      </c>
    </row>
    <row r="10" spans="1:17" ht="25.5" customHeight="1" x14ac:dyDescent="0.25">
      <c r="A10" s="12">
        <v>44483</v>
      </c>
      <c r="B10" s="13">
        <v>2816514</v>
      </c>
      <c r="C10" s="13" t="s">
        <v>9</v>
      </c>
      <c r="D10" s="127">
        <v>0</v>
      </c>
      <c r="E10" s="13"/>
      <c r="F10" s="13" t="s">
        <v>45</v>
      </c>
      <c r="G10" s="13" t="s">
        <v>46</v>
      </c>
      <c r="H10" s="13" t="s">
        <v>223</v>
      </c>
      <c r="I10" s="13" t="s">
        <v>223</v>
      </c>
      <c r="J10" s="13" t="s">
        <v>224</v>
      </c>
      <c r="K10" s="13" t="s">
        <v>225</v>
      </c>
      <c r="L10" s="13">
        <v>648</v>
      </c>
      <c r="M10" s="13">
        <v>0</v>
      </c>
      <c r="N10" s="13" t="s">
        <v>10</v>
      </c>
      <c r="O10" s="642"/>
      <c r="P10" s="673"/>
      <c r="Q10" s="634"/>
    </row>
    <row r="11" spans="1:17" ht="25.5" customHeight="1" x14ac:dyDescent="0.25">
      <c r="A11" s="14">
        <v>44486</v>
      </c>
      <c r="B11" s="15">
        <v>3034639</v>
      </c>
      <c r="C11" s="15" t="s">
        <v>50</v>
      </c>
      <c r="D11" s="129">
        <v>99681.54</v>
      </c>
      <c r="E11" s="15" t="s">
        <v>68</v>
      </c>
      <c r="F11" s="15" t="s">
        <v>46</v>
      </c>
      <c r="G11" s="15" t="s">
        <v>79</v>
      </c>
      <c r="H11" s="15" t="s">
        <v>223</v>
      </c>
      <c r="I11" s="15" t="s">
        <v>223</v>
      </c>
      <c r="J11" s="15" t="s">
        <v>224</v>
      </c>
      <c r="K11" s="15" t="s">
        <v>225</v>
      </c>
      <c r="L11" s="15">
        <v>672</v>
      </c>
      <c r="M11" s="15">
        <v>28380</v>
      </c>
      <c r="N11" s="15" t="s">
        <v>38</v>
      </c>
      <c r="O11" s="647">
        <v>30602.232779999998</v>
      </c>
      <c r="P11" s="678">
        <f>O11/D11*100</f>
        <v>30.7</v>
      </c>
      <c r="Q11" s="632">
        <f>D11/(L11+L12)</f>
        <v>74.167812499999997</v>
      </c>
    </row>
    <row r="12" spans="1:17" ht="25.5" customHeight="1" x14ac:dyDescent="0.25">
      <c r="A12" s="14">
        <v>44487</v>
      </c>
      <c r="B12" s="15">
        <v>2816535</v>
      </c>
      <c r="C12" s="15" t="s">
        <v>9</v>
      </c>
      <c r="D12" s="129">
        <v>0</v>
      </c>
      <c r="E12" s="15"/>
      <c r="F12" s="15" t="s">
        <v>79</v>
      </c>
      <c r="G12" s="15" t="s">
        <v>46</v>
      </c>
      <c r="H12" s="15" t="s">
        <v>223</v>
      </c>
      <c r="I12" s="15" t="s">
        <v>223</v>
      </c>
      <c r="J12" s="15" t="s">
        <v>224</v>
      </c>
      <c r="K12" s="15" t="s">
        <v>225</v>
      </c>
      <c r="L12" s="15">
        <v>672</v>
      </c>
      <c r="M12" s="15">
        <v>0</v>
      </c>
      <c r="N12" s="15" t="s">
        <v>10</v>
      </c>
      <c r="O12" s="648"/>
      <c r="P12" s="679"/>
      <c r="Q12" s="632"/>
    </row>
    <row r="13" spans="1:17" ht="25.5" customHeight="1" x14ac:dyDescent="0.25">
      <c r="A13" s="10">
        <v>44490</v>
      </c>
      <c r="B13" s="11">
        <v>3037203</v>
      </c>
      <c r="C13" s="11" t="s">
        <v>50</v>
      </c>
      <c r="D13" s="125">
        <v>101312.23</v>
      </c>
      <c r="E13" s="11" t="s">
        <v>68</v>
      </c>
      <c r="F13" s="11" t="s">
        <v>46</v>
      </c>
      <c r="G13" s="11" t="s">
        <v>45</v>
      </c>
      <c r="H13" s="11" t="s">
        <v>223</v>
      </c>
      <c r="I13" s="11" t="s">
        <v>223</v>
      </c>
      <c r="J13" s="11" t="s">
        <v>224</v>
      </c>
      <c r="K13" s="11" t="s">
        <v>225</v>
      </c>
      <c r="L13" s="11">
        <v>648</v>
      </c>
      <c r="M13" s="11">
        <v>28560</v>
      </c>
      <c r="N13" s="11" t="s">
        <v>38</v>
      </c>
      <c r="O13" s="637">
        <v>31102.854609999999</v>
      </c>
      <c r="P13" s="676">
        <f>O13/D13*100</f>
        <v>30.7</v>
      </c>
      <c r="Q13" s="630">
        <f>D13/(L13+L14)</f>
        <v>78.173016975308641</v>
      </c>
    </row>
    <row r="14" spans="1:17" ht="25.5" customHeight="1" x14ac:dyDescent="0.25">
      <c r="A14" s="10">
        <v>44492</v>
      </c>
      <c r="B14" s="11">
        <v>2816581</v>
      </c>
      <c r="C14" s="11" t="s">
        <v>9</v>
      </c>
      <c r="D14" s="125">
        <v>0</v>
      </c>
      <c r="E14" s="11"/>
      <c r="F14" s="11" t="s">
        <v>45</v>
      </c>
      <c r="G14" s="11" t="s">
        <v>46</v>
      </c>
      <c r="H14" s="11" t="s">
        <v>223</v>
      </c>
      <c r="I14" s="11" t="s">
        <v>223</v>
      </c>
      <c r="J14" s="11" t="s">
        <v>224</v>
      </c>
      <c r="K14" s="11" t="s">
        <v>225</v>
      </c>
      <c r="L14" s="11">
        <v>648</v>
      </c>
      <c r="M14" s="11">
        <v>0</v>
      </c>
      <c r="N14" s="11" t="s">
        <v>10</v>
      </c>
      <c r="O14" s="638"/>
      <c r="P14" s="677"/>
      <c r="Q14" s="630"/>
    </row>
    <row r="15" spans="1:17" ht="25.5" customHeight="1" x14ac:dyDescent="0.25">
      <c r="A15" s="16">
        <v>44494</v>
      </c>
      <c r="B15" s="17">
        <v>3038985</v>
      </c>
      <c r="C15" s="17" t="s">
        <v>50</v>
      </c>
      <c r="D15" s="128">
        <v>99259.95</v>
      </c>
      <c r="E15" s="17" t="s">
        <v>68</v>
      </c>
      <c r="F15" s="17" t="s">
        <v>46</v>
      </c>
      <c r="G15" s="17" t="s">
        <v>79</v>
      </c>
      <c r="H15" s="17" t="s">
        <v>223</v>
      </c>
      <c r="I15" s="17" t="s">
        <v>223</v>
      </c>
      <c r="J15" s="17" t="s">
        <v>224</v>
      </c>
      <c r="K15" s="17" t="s">
        <v>225</v>
      </c>
      <c r="L15" s="17">
        <v>672</v>
      </c>
      <c r="M15" s="17">
        <v>28380</v>
      </c>
      <c r="N15" s="17" t="s">
        <v>38</v>
      </c>
      <c r="O15" s="644">
        <v>30472.804649999998</v>
      </c>
      <c r="P15" s="674">
        <f>O15/D15*100</f>
        <v>30.7</v>
      </c>
      <c r="Q15" s="628">
        <f>D15/(L15+L16)</f>
        <v>73.854129464285705</v>
      </c>
    </row>
    <row r="16" spans="1:17" ht="25.5" customHeight="1" x14ac:dyDescent="0.25">
      <c r="A16" s="16">
        <v>44495</v>
      </c>
      <c r="B16" s="17">
        <v>2816609</v>
      </c>
      <c r="C16" s="17" t="s">
        <v>9</v>
      </c>
      <c r="D16" s="128">
        <v>0</v>
      </c>
      <c r="E16" s="17"/>
      <c r="F16" s="17" t="s">
        <v>79</v>
      </c>
      <c r="G16" s="17" t="s">
        <v>46</v>
      </c>
      <c r="H16" s="17" t="s">
        <v>223</v>
      </c>
      <c r="I16" s="17" t="s">
        <v>223</v>
      </c>
      <c r="J16" s="17" t="s">
        <v>224</v>
      </c>
      <c r="K16" s="17" t="s">
        <v>225</v>
      </c>
      <c r="L16" s="17">
        <v>672</v>
      </c>
      <c r="M16" s="17">
        <v>0</v>
      </c>
      <c r="N16" s="17" t="s">
        <v>10</v>
      </c>
      <c r="O16" s="645"/>
      <c r="P16" s="675"/>
      <c r="Q16" s="628"/>
    </row>
    <row r="17" spans="1:17" ht="25.5" customHeight="1" x14ac:dyDescent="0.25">
      <c r="A17" s="12">
        <v>44496</v>
      </c>
      <c r="B17" s="13">
        <v>3040623</v>
      </c>
      <c r="C17" s="13" t="s">
        <v>50</v>
      </c>
      <c r="D17" s="127">
        <v>19647.91</v>
      </c>
      <c r="E17" s="13" t="s">
        <v>68</v>
      </c>
      <c r="F17" s="13" t="s">
        <v>46</v>
      </c>
      <c r="G17" s="13" t="s">
        <v>81</v>
      </c>
      <c r="H17" s="13" t="s">
        <v>223</v>
      </c>
      <c r="I17" s="13" t="s">
        <v>223</v>
      </c>
      <c r="J17" s="13" t="s">
        <v>224</v>
      </c>
      <c r="K17" s="13" t="s">
        <v>225</v>
      </c>
      <c r="L17" s="13">
        <v>120</v>
      </c>
      <c r="M17" s="13">
        <v>28580</v>
      </c>
      <c r="N17" s="13" t="s">
        <v>38</v>
      </c>
      <c r="O17" s="640">
        <v>6031.9083700000001</v>
      </c>
      <c r="P17" s="672">
        <f>O17/D17*100</f>
        <v>30.7</v>
      </c>
      <c r="Q17" s="634">
        <f>D17/(L17+L18)</f>
        <v>81.866291666666669</v>
      </c>
    </row>
    <row r="18" spans="1:17" ht="25.5" customHeight="1" x14ac:dyDescent="0.25">
      <c r="A18" s="12">
        <v>44497</v>
      </c>
      <c r="B18" s="13">
        <v>2816630</v>
      </c>
      <c r="C18" s="13" t="s">
        <v>9</v>
      </c>
      <c r="D18" s="127">
        <v>0</v>
      </c>
      <c r="E18" s="13"/>
      <c r="F18" s="13" t="s">
        <v>81</v>
      </c>
      <c r="G18" s="13" t="s">
        <v>46</v>
      </c>
      <c r="H18" s="13" t="s">
        <v>223</v>
      </c>
      <c r="I18" s="13" t="s">
        <v>223</v>
      </c>
      <c r="J18" s="13" t="s">
        <v>224</v>
      </c>
      <c r="K18" s="13" t="s">
        <v>225</v>
      </c>
      <c r="L18" s="13">
        <v>120</v>
      </c>
      <c r="M18" s="13">
        <v>0</v>
      </c>
      <c r="N18" s="13" t="s">
        <v>10</v>
      </c>
      <c r="O18" s="642"/>
      <c r="P18" s="673"/>
      <c r="Q18" s="634"/>
    </row>
    <row r="19" spans="1:17" ht="25.5" customHeight="1" x14ac:dyDescent="0.25">
      <c r="A19" s="14">
        <v>44498</v>
      </c>
      <c r="B19" s="15">
        <v>3041594</v>
      </c>
      <c r="C19" s="15" t="s">
        <v>50</v>
      </c>
      <c r="D19" s="129">
        <v>93677.5</v>
      </c>
      <c r="E19" s="15" t="s">
        <v>68</v>
      </c>
      <c r="F19" s="15" t="s">
        <v>46</v>
      </c>
      <c r="G19" s="15" t="s">
        <v>226</v>
      </c>
      <c r="H19" s="15" t="s">
        <v>223</v>
      </c>
      <c r="I19" s="15" t="s">
        <v>223</v>
      </c>
      <c r="J19" s="15" t="s">
        <v>224</v>
      </c>
      <c r="K19" s="15" t="s">
        <v>225</v>
      </c>
      <c r="L19" s="15">
        <v>640</v>
      </c>
      <c r="M19" s="15">
        <v>28440</v>
      </c>
      <c r="N19" s="15" t="s">
        <v>38</v>
      </c>
      <c r="O19" s="647">
        <v>28758.9925</v>
      </c>
      <c r="P19" s="678">
        <f>O19/D19*100</f>
        <v>30.7</v>
      </c>
      <c r="Q19" s="632">
        <f>D19/(L19+L20)</f>
        <v>73.185546875</v>
      </c>
    </row>
    <row r="20" spans="1:17" ht="25.5" customHeight="1" x14ac:dyDescent="0.25">
      <c r="A20" s="85">
        <v>44498</v>
      </c>
      <c r="B20" s="86">
        <v>2816651</v>
      </c>
      <c r="C20" s="86" t="s">
        <v>9</v>
      </c>
      <c r="D20" s="133">
        <v>0</v>
      </c>
      <c r="E20" s="86"/>
      <c r="F20" s="86" t="s">
        <v>77</v>
      </c>
      <c r="G20" s="86" t="s">
        <v>46</v>
      </c>
      <c r="H20" s="86" t="s">
        <v>223</v>
      </c>
      <c r="I20" s="86" t="s">
        <v>223</v>
      </c>
      <c r="J20" s="86" t="s">
        <v>224</v>
      </c>
      <c r="K20" s="86" t="s">
        <v>225</v>
      </c>
      <c r="L20" s="86">
        <v>640</v>
      </c>
      <c r="M20" s="86">
        <v>0</v>
      </c>
      <c r="N20" s="86" t="s">
        <v>10</v>
      </c>
      <c r="O20" s="648"/>
      <c r="P20" s="679"/>
      <c r="Q20" s="632"/>
    </row>
    <row r="21" spans="1:17" x14ac:dyDescent="0.25">
      <c r="A21" s="9"/>
      <c r="B21" s="9"/>
      <c r="C21" s="9"/>
      <c r="D21" s="18">
        <f>SUM(D4:D20)</f>
        <v>715396.40999999992</v>
      </c>
      <c r="E21" s="9"/>
      <c r="F21" s="9"/>
      <c r="G21" s="9"/>
      <c r="H21" s="9"/>
      <c r="I21" s="9"/>
      <c r="J21" s="9"/>
      <c r="K21" s="9"/>
      <c r="L21" s="9">
        <f>SUM(L4:L20)</f>
        <v>9672</v>
      </c>
      <c r="M21" s="9"/>
      <c r="N21" s="9"/>
      <c r="O21" s="24">
        <f>SUM(O4:O20)</f>
        <v>219626.69787</v>
      </c>
      <c r="P21" s="28">
        <f>O21/D21*100</f>
        <v>30.700000000000006</v>
      </c>
      <c r="Q21" s="26">
        <f>D21/L21</f>
        <v>73.965716501240692</v>
      </c>
    </row>
    <row r="23" spans="1:17" x14ac:dyDescent="0.25">
      <c r="A23" s="99" t="s">
        <v>322</v>
      </c>
      <c r="B23" s="100" t="s">
        <v>328</v>
      </c>
      <c r="C23" s="101"/>
      <c r="D23" s="102"/>
    </row>
    <row r="24" spans="1:17" x14ac:dyDescent="0.25">
      <c r="A24" s="103">
        <f>D21/L21</f>
        <v>73.965716501240692</v>
      </c>
      <c r="B24" s="9"/>
      <c r="C24" s="104"/>
      <c r="D24" s="105"/>
    </row>
    <row r="25" spans="1:17" x14ac:dyDescent="0.25">
      <c r="D25" s="25"/>
    </row>
    <row r="26" spans="1:17" x14ac:dyDescent="0.25">
      <c r="A26" s="36"/>
      <c r="B26" s="36" t="s">
        <v>329</v>
      </c>
      <c r="C26" s="36" t="s">
        <v>330</v>
      </c>
      <c r="D26" s="106" t="s">
        <v>225</v>
      </c>
    </row>
    <row r="27" spans="1:17" x14ac:dyDescent="0.25">
      <c r="A27" s="7" t="s">
        <v>331</v>
      </c>
      <c r="B27" s="42">
        <f>D21</f>
        <v>715396.40999999992</v>
      </c>
      <c r="C27" s="45">
        <f>B28</f>
        <v>219626.69787</v>
      </c>
      <c r="D27" s="46">
        <f>C27/B27</f>
        <v>0.30700000000000005</v>
      </c>
    </row>
    <row r="28" spans="1:17" x14ac:dyDescent="0.25">
      <c r="A28" s="47" t="s">
        <v>27</v>
      </c>
      <c r="B28" s="24">
        <f>O21</f>
        <v>219626.69787</v>
      </c>
      <c r="C28" s="9"/>
      <c r="D28" s="25"/>
    </row>
    <row r="29" spans="1:17" x14ac:dyDescent="0.25">
      <c r="A29" s="48" t="s">
        <v>332</v>
      </c>
      <c r="B29" s="107"/>
      <c r="C29" s="49">
        <f>(12*(78578.313+12454.55))/(150000+80000)*L21</f>
        <v>45937.557440139128</v>
      </c>
      <c r="D29" s="25"/>
    </row>
    <row r="30" spans="1:17" x14ac:dyDescent="0.25">
      <c r="A30" s="48" t="s">
        <v>335</v>
      </c>
      <c r="B30" s="107"/>
      <c r="C30" s="42"/>
      <c r="D30" s="25"/>
    </row>
    <row r="31" spans="1:17" x14ac:dyDescent="0.25">
      <c r="A31" s="48" t="s">
        <v>336</v>
      </c>
      <c r="B31" s="107"/>
      <c r="C31" s="42">
        <f>'PATENTE MUNICIPAL'!I53</f>
        <v>20.833333333333332</v>
      </c>
      <c r="D31" s="25"/>
    </row>
    <row r="32" spans="1:17" x14ac:dyDescent="0.25">
      <c r="A32" s="48" t="s">
        <v>337</v>
      </c>
      <c r="B32" s="107"/>
      <c r="C32" s="42">
        <f>SEGURO!K57</f>
        <v>261.09831688804553</v>
      </c>
      <c r="D32" s="25"/>
    </row>
    <row r="33" spans="1:4" x14ac:dyDescent="0.25">
      <c r="A33" s="48" t="s">
        <v>339</v>
      </c>
      <c r="B33" s="107"/>
      <c r="C33" s="42">
        <f>'GASTOS SEMI'!H164</f>
        <v>394.61</v>
      </c>
      <c r="D33" s="25"/>
    </row>
    <row r="34" spans="1:4" x14ac:dyDescent="0.25">
      <c r="A34" s="48" t="s">
        <v>340</v>
      </c>
      <c r="B34" s="107"/>
      <c r="C34" s="51">
        <f>SUM(C29:C33)</f>
        <v>46614.099090360512</v>
      </c>
      <c r="D34" s="25"/>
    </row>
    <row r="35" spans="1:4" x14ac:dyDescent="0.25">
      <c r="A35" s="36" t="s">
        <v>341</v>
      </c>
      <c r="B35" s="107"/>
      <c r="C35" s="53">
        <f>C27-C28-C34</f>
        <v>173012.59877963949</v>
      </c>
      <c r="D35" s="106">
        <f>+B35+C35</f>
        <v>173012.59877963949</v>
      </c>
    </row>
  </sheetData>
  <sortState xmlns:xlrd2="http://schemas.microsoft.com/office/spreadsheetml/2017/richdata2" ref="A2:P19">
    <sortCondition ref="A1"/>
  </sortState>
  <mergeCells count="25">
    <mergeCell ref="A1:Q2"/>
    <mergeCell ref="Q7:Q8"/>
    <mergeCell ref="P7:P8"/>
    <mergeCell ref="O7:O8"/>
    <mergeCell ref="Q5:Q6"/>
    <mergeCell ref="P5:P6"/>
    <mergeCell ref="O5:O6"/>
    <mergeCell ref="Q11:Q12"/>
    <mergeCell ref="P11:P12"/>
    <mergeCell ref="O11:O12"/>
    <mergeCell ref="Q9:Q10"/>
    <mergeCell ref="P9:P10"/>
    <mergeCell ref="O9:O10"/>
    <mergeCell ref="Q15:Q16"/>
    <mergeCell ref="P15:P16"/>
    <mergeCell ref="O15:O16"/>
    <mergeCell ref="Q13:Q14"/>
    <mergeCell ref="P13:P14"/>
    <mergeCell ref="O13:O14"/>
    <mergeCell ref="Q19:Q20"/>
    <mergeCell ref="P19:P20"/>
    <mergeCell ref="O19:O20"/>
    <mergeCell ref="Q17:Q18"/>
    <mergeCell ref="P17:P18"/>
    <mergeCell ref="O17:O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O27"/>
  <sheetViews>
    <sheetView topLeftCell="A16" workbookViewId="0">
      <selection activeCell="A26" sqref="A26:B26"/>
    </sheetView>
  </sheetViews>
  <sheetFormatPr baseColWidth="10" defaultRowHeight="15" x14ac:dyDescent="0.25"/>
  <cols>
    <col min="1" max="1" width="13.85546875" bestFit="1" customWidth="1"/>
    <col min="2" max="2" width="9.140625" bestFit="1" customWidth="1"/>
    <col min="3" max="3" width="14" bestFit="1" customWidth="1"/>
    <col min="4" max="12" width="14" customWidth="1"/>
    <col min="13" max="14" width="14" hidden="1" customWidth="1"/>
    <col min="15" max="15" width="18.42578125" customWidth="1"/>
  </cols>
  <sheetData>
    <row r="1" spans="1:15" x14ac:dyDescent="0.25">
      <c r="A1" s="605" t="s">
        <v>1131</v>
      </c>
      <c r="B1" s="606"/>
      <c r="C1" s="606"/>
      <c r="D1" s="606"/>
      <c r="E1" s="606"/>
      <c r="F1" s="606"/>
      <c r="G1" s="606"/>
      <c r="H1" s="606"/>
      <c r="I1" s="606"/>
      <c r="J1" s="606"/>
      <c r="K1" s="606"/>
      <c r="L1" s="606"/>
      <c r="M1" s="606"/>
      <c r="N1" s="606"/>
      <c r="O1" s="607"/>
    </row>
    <row r="2" spans="1:15" ht="15.75" thickBot="1" x14ac:dyDescent="0.3">
      <c r="A2" s="608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10"/>
    </row>
    <row r="3" spans="1:15" ht="15.75" thickBot="1" x14ac:dyDescent="0.3">
      <c r="A3" s="611" t="s">
        <v>1132</v>
      </c>
      <c r="B3" s="611" t="s">
        <v>506</v>
      </c>
      <c r="C3" s="324" t="s">
        <v>1133</v>
      </c>
      <c r="D3" s="324" t="s">
        <v>1134</v>
      </c>
      <c r="E3" s="324" t="s">
        <v>1135</v>
      </c>
      <c r="F3" s="324" t="s">
        <v>1136</v>
      </c>
      <c r="G3" s="324" t="s">
        <v>1137</v>
      </c>
      <c r="H3" s="324" t="s">
        <v>1138</v>
      </c>
      <c r="I3" s="324" t="s">
        <v>1139</v>
      </c>
      <c r="J3" s="324" t="s">
        <v>1140</v>
      </c>
      <c r="K3" s="324" t="s">
        <v>1141</v>
      </c>
      <c r="L3" s="324" t="s">
        <v>1142</v>
      </c>
      <c r="M3" s="324" t="s">
        <v>1143</v>
      </c>
      <c r="N3" s="324" t="s">
        <v>1144</v>
      </c>
      <c r="O3" s="613" t="s">
        <v>1145</v>
      </c>
    </row>
    <row r="4" spans="1:15" ht="15.75" thickBot="1" x14ac:dyDescent="0.3">
      <c r="A4" s="612"/>
      <c r="B4" s="612"/>
      <c r="C4" s="325" t="s">
        <v>1146</v>
      </c>
      <c r="D4" s="325" t="s">
        <v>1146</v>
      </c>
      <c r="E4" s="325" t="s">
        <v>1146</v>
      </c>
      <c r="F4" s="326" t="s">
        <v>1146</v>
      </c>
      <c r="G4" s="326" t="s">
        <v>1146</v>
      </c>
      <c r="H4" s="326" t="s">
        <v>1146</v>
      </c>
      <c r="I4" s="326" t="s">
        <v>1146</v>
      </c>
      <c r="J4" s="326" t="s">
        <v>1146</v>
      </c>
      <c r="K4" s="326" t="s">
        <v>1146</v>
      </c>
      <c r="L4" s="326" t="s">
        <v>1146</v>
      </c>
      <c r="M4" s="326" t="s">
        <v>1146</v>
      </c>
      <c r="N4" s="326" t="s">
        <v>1146</v>
      </c>
      <c r="O4" s="614"/>
    </row>
    <row r="5" spans="1:15" x14ac:dyDescent="0.25">
      <c r="A5" s="327" t="s">
        <v>1147</v>
      </c>
      <c r="B5" s="328" t="s">
        <v>99</v>
      </c>
      <c r="C5" s="329">
        <f>[5]AC121PH_VIAR!C23</f>
        <v>27.775429102900144</v>
      </c>
      <c r="D5" s="330">
        <f>[6]AC121PH_VIAR!C15</f>
        <v>29.432757325319308</v>
      </c>
      <c r="E5" s="331">
        <f>[7]AC121PH_VIAR!C25</f>
        <v>29.123619522622018</v>
      </c>
      <c r="F5" s="332">
        <f>[8]AC121PH_VIAR!C21</f>
        <v>29.442943255040532</v>
      </c>
      <c r="G5" s="332">
        <f>[9]AC121PH_VIAR!C19</f>
        <v>29.459686114771777</v>
      </c>
      <c r="H5" s="332">
        <f>[10]AC121PH_VIAR!C22</f>
        <v>28.208946772366932</v>
      </c>
      <c r="I5" s="332">
        <f>[11]AC121PH_VIAR!C21</f>
        <v>35.234093637454983</v>
      </c>
      <c r="J5" s="332">
        <f>[1]AC121PH_VIAR!C25</f>
        <v>30.082469919786099</v>
      </c>
      <c r="K5" s="332">
        <f>[2]AC121PH_VIAR!C13</f>
        <v>35.957178841309826</v>
      </c>
      <c r="L5" s="332">
        <f>AC121PH_VIAR!C19</f>
        <v>34.323060880984286</v>
      </c>
      <c r="M5" s="332"/>
      <c r="N5" s="332"/>
      <c r="O5" s="333">
        <f>AVERAGE(C5:N5)</f>
        <v>30.904018537255592</v>
      </c>
    </row>
    <row r="6" spans="1:15" x14ac:dyDescent="0.25">
      <c r="A6" s="334" t="s">
        <v>1147</v>
      </c>
      <c r="B6" s="335" t="s">
        <v>105</v>
      </c>
      <c r="C6" s="329">
        <f>[5]AC121PI_VIAR!C25</f>
        <v>31.382163653079985</v>
      </c>
      <c r="D6" s="330">
        <f>[6]AC121PI_VIAR!C28</f>
        <v>32.418838591678096</v>
      </c>
      <c r="E6" s="331">
        <f>[7]AC121PI_VIAR!C22</f>
        <v>32.791175920732847</v>
      </c>
      <c r="F6" s="331">
        <f>[8]AC121PI_VIAR!C23</f>
        <v>31.399613899613897</v>
      </c>
      <c r="G6" s="331">
        <f>[9]AC121PI_VIAR!C19</f>
        <v>28.385505589430892</v>
      </c>
      <c r="H6" s="331">
        <f>[10]AC121PI_VIAR!C22</f>
        <v>29.540545847241312</v>
      </c>
      <c r="I6" s="331">
        <f>[11]AC121PI_VIAR!C26</f>
        <v>33.155871044069798</v>
      </c>
      <c r="J6" s="331">
        <f>[1]AC121PI_VIAR!C26</f>
        <v>34.087548062703341</v>
      </c>
      <c r="K6" s="331">
        <f>[2]AC121PI_VIAR!C29</f>
        <v>32.610692170927599</v>
      </c>
      <c r="L6" s="331">
        <f>AC121PI_VIAR!C22</f>
        <v>32.251931649331354</v>
      </c>
      <c r="M6" s="331"/>
      <c r="N6" s="331"/>
      <c r="O6" s="336">
        <f t="shared" ref="O6:O25" si="0">AVERAGE(C6:N6)</f>
        <v>31.802388642880913</v>
      </c>
    </row>
    <row r="7" spans="1:15" x14ac:dyDescent="0.25">
      <c r="A7" s="334" t="s">
        <v>1147</v>
      </c>
      <c r="B7" s="335" t="s">
        <v>117</v>
      </c>
      <c r="C7" s="329">
        <f>[5]AC121PJ_VIAR!C19</f>
        <v>30.627252252252251</v>
      </c>
      <c r="D7" s="330">
        <f>[6]AC121PJ_VIAR!C24</f>
        <v>29.479927007299274</v>
      </c>
      <c r="E7" s="331">
        <f>[7]AC121PJ_VIAR!C26</f>
        <v>27.85052698818269</v>
      </c>
      <c r="F7" s="331">
        <f>[8]AC121PJ_VIAR!C24</f>
        <v>28.578150289017344</v>
      </c>
      <c r="G7" s="331">
        <f>[9]AC121PJ_VIAR!C18</f>
        <v>33.930530973451326</v>
      </c>
      <c r="H7" s="331" t="s">
        <v>1105</v>
      </c>
      <c r="I7" s="331">
        <f>[11]AC121PJ_VIAR!C11</f>
        <v>34.385150812064964</v>
      </c>
      <c r="J7" s="331">
        <f>[1]AC121PJ_VIAR!C24</f>
        <v>31.572690217391301</v>
      </c>
      <c r="K7" s="331">
        <f>[2]AC121PJ_VIAR!C26</f>
        <v>32.924956496519727</v>
      </c>
      <c r="L7" s="331">
        <f>AC121PJ_VIAR!C26</f>
        <v>36.336388285521686</v>
      </c>
      <c r="M7" s="331"/>
      <c r="N7" s="331"/>
      <c r="O7" s="336">
        <f t="shared" si="0"/>
        <v>31.742841480188954</v>
      </c>
    </row>
    <row r="8" spans="1:15" x14ac:dyDescent="0.25">
      <c r="A8" s="334" t="s">
        <v>1147</v>
      </c>
      <c r="B8" s="335" t="s">
        <v>123</v>
      </c>
      <c r="C8" s="329">
        <f>[5]AC121PK_VIAR!C26</f>
        <v>30.537030537030535</v>
      </c>
      <c r="D8" s="330">
        <f>[6]AC121PK_VIAR!C22</f>
        <v>31.670081967213115</v>
      </c>
      <c r="E8" s="331">
        <f>[7]AC121PK_VIAR!C25</f>
        <v>30.691506157246607</v>
      </c>
      <c r="F8" s="331">
        <f>[8]AC121PK_VIAR!C22</f>
        <v>32.819128092089151</v>
      </c>
      <c r="G8" s="331">
        <f>[9]AC121PK_VIAR!C17</f>
        <v>27.772050698732532</v>
      </c>
      <c r="H8" s="331">
        <f>[10]AC121PK_VIAR!C23</f>
        <v>32.829125177809388</v>
      </c>
      <c r="I8" s="331">
        <f>[11]AC121PK_VIAR!C20</f>
        <v>34.093285923446977</v>
      </c>
      <c r="J8" s="331">
        <f>[1]AC121PK_VIAR!C15</f>
        <v>31.01160862354892</v>
      </c>
      <c r="K8" s="331">
        <f>[2]AC121PK_VIAR!C20</f>
        <v>38.124544480171494</v>
      </c>
      <c r="L8" s="331">
        <f>AC121PK_VIAR!C26</f>
        <v>30.765895645645642</v>
      </c>
      <c r="M8" s="331"/>
      <c r="N8" s="331"/>
      <c r="O8" s="336">
        <f t="shared" si="0"/>
        <v>32.031425730293435</v>
      </c>
    </row>
    <row r="9" spans="1:15" x14ac:dyDescent="0.25">
      <c r="A9" s="334" t="s">
        <v>1148</v>
      </c>
      <c r="B9" s="335" t="s">
        <v>141</v>
      </c>
      <c r="C9" s="329">
        <f>[5]AD414GY_VIAR!C28</f>
        <v>30.35566280566281</v>
      </c>
      <c r="D9" s="330">
        <f>[6]AD414GY_VIAR!C26</f>
        <v>31.355715764566693</v>
      </c>
      <c r="E9" s="331">
        <f>[7]AD414GY_VIAR!C24</f>
        <v>29.617834394904456</v>
      </c>
      <c r="F9" s="331">
        <f>[8]AD414GY_VIAR!C22</f>
        <v>30.322662601626014</v>
      </c>
      <c r="G9" s="331">
        <f>[9]AD414GY_VIAR!C17</f>
        <v>31.189189189189186</v>
      </c>
      <c r="H9" s="331">
        <f>[10]AD414GY_VIAR!C20</f>
        <v>33.814968814968815</v>
      </c>
      <c r="I9" s="331">
        <f>[11]AD414GY_VIAR!C24</f>
        <v>31.667824466282617</v>
      </c>
      <c r="J9" s="331">
        <f>[1]AD414GY_VIAR!C29</f>
        <v>31.421493902439025</v>
      </c>
      <c r="K9" s="331">
        <f>[2]AD414GY_VIAR!C28</f>
        <v>31.796328671328673</v>
      </c>
      <c r="L9" s="331">
        <f>AD414GY_VIAR!C28</f>
        <v>29.650509952910379</v>
      </c>
      <c r="M9" s="331"/>
      <c r="N9" s="331"/>
      <c r="O9" s="336">
        <f t="shared" si="0"/>
        <v>31.11921905638787</v>
      </c>
    </row>
    <row r="10" spans="1:15" x14ac:dyDescent="0.25">
      <c r="A10" s="334" t="s">
        <v>1148</v>
      </c>
      <c r="B10" s="335" t="s">
        <v>146</v>
      </c>
      <c r="C10" s="329">
        <f>[5]AD414GZ_VIAR!C28</f>
        <v>43.782752581918913</v>
      </c>
      <c r="D10" s="330">
        <f>[6]AD414GZ_VIAR!C15</f>
        <v>33.47160664819944</v>
      </c>
      <c r="E10" s="331">
        <f>[7]AD414GZ_VIAR!C28</f>
        <v>37.447100377854447</v>
      </c>
      <c r="F10" s="331">
        <f>[8]AD414GZ_VIAR!C18</f>
        <v>33.566689234935673</v>
      </c>
      <c r="G10" s="331">
        <f>[9]AD414GZ_VIAR!C18</f>
        <v>36.817178770949724</v>
      </c>
      <c r="H10" s="331">
        <f>[10]AD414GZ_VIAR!C26</f>
        <v>40.546539824659575</v>
      </c>
      <c r="I10" s="331">
        <f>[11]AD414GZ_VIAR!C24</f>
        <v>44.162501073606457</v>
      </c>
      <c r="J10" s="331">
        <f>[1]AD414GZ_VIAR!C16</f>
        <v>39.960188140433395</v>
      </c>
      <c r="K10" s="331">
        <f>[2]AD414GZ_VIAR!C27</f>
        <v>37.249394066025907</v>
      </c>
      <c r="L10" s="331">
        <f>AD414GZ_VIAR!C26</f>
        <v>42.133953135376153</v>
      </c>
      <c r="M10" s="331"/>
      <c r="N10" s="331"/>
      <c r="O10" s="336">
        <f t="shared" si="0"/>
        <v>38.913790385395963</v>
      </c>
    </row>
    <row r="11" spans="1:15" x14ac:dyDescent="0.25">
      <c r="A11" s="334" t="s">
        <v>1148</v>
      </c>
      <c r="B11" s="335" t="s">
        <v>150</v>
      </c>
      <c r="C11" s="329">
        <f>[5]AD533SA_VIAR!C26</f>
        <v>36.747439420434674</v>
      </c>
      <c r="D11" s="330">
        <f>[6]AD533SA_VIAR!C25</f>
        <v>42.046287593984964</v>
      </c>
      <c r="E11" s="331">
        <f>[7]AD533SA_VIAR!C30</f>
        <v>33.503078209318232</v>
      </c>
      <c r="F11" s="331">
        <f>[8]AD533SA_VIAR!C22</f>
        <v>32.068202303455188</v>
      </c>
      <c r="G11" s="331">
        <f>[9]AD533SA_VIAR!C28</f>
        <v>33.575134649910233</v>
      </c>
      <c r="H11" s="331">
        <f>[10]AD533SA_VIAR!C26</f>
        <v>40.969643683479873</v>
      </c>
      <c r="I11" s="331">
        <f>[11]AD533SA_VIAR!C22</f>
        <v>47.046650998824916</v>
      </c>
      <c r="J11" s="331">
        <f>[1]AD533SA_VIAR!C32</f>
        <v>33.754306093026784</v>
      </c>
      <c r="K11" s="331">
        <f>[2]AD533SA_VIAR!C27</f>
        <v>39.564362092890377</v>
      </c>
      <c r="L11" s="331">
        <f>AD533SA_VIAR!C32</f>
        <v>38.814817629179323</v>
      </c>
      <c r="M11" s="331"/>
      <c r="N11" s="331"/>
      <c r="O11" s="336">
        <f t="shared" si="0"/>
        <v>37.808992267450463</v>
      </c>
    </row>
    <row r="12" spans="1:15" x14ac:dyDescent="0.25">
      <c r="A12" s="334" t="s">
        <v>1149</v>
      </c>
      <c r="B12" s="335" t="s">
        <v>174</v>
      </c>
      <c r="C12" s="329">
        <f>[5]FWT827_VIAR!C29</f>
        <v>28.737985048059805</v>
      </c>
      <c r="D12" s="330">
        <f>[6]FWT827_VIAR!C25</f>
        <v>36.723661485319511</v>
      </c>
      <c r="E12" s="331">
        <f>[7]FWT827_VIAR!C25</f>
        <v>31.41700477864935</v>
      </c>
      <c r="F12" s="331">
        <f>[8]FWT827_VIAR!C26</f>
        <v>37.132106473874465</v>
      </c>
      <c r="G12" s="331">
        <f>[9]FWT827_VIAR!C31</f>
        <v>25.97357440890125</v>
      </c>
      <c r="H12" s="331">
        <f>[10]FWT827_VIAR!C29</f>
        <v>35.533649947874437</v>
      </c>
      <c r="I12" s="331">
        <f>[11]FWT827_VIAR!C29</f>
        <v>34.860988309264172</v>
      </c>
      <c r="J12" s="331">
        <f>[1]FWT827_VIAR!C29</f>
        <v>34.136791941947365</v>
      </c>
      <c r="K12" s="331">
        <f>[2]FWT827_VIAR!C35</f>
        <v>35.54810290144485</v>
      </c>
      <c r="L12" s="331">
        <f>FWT827_VIAR!C39</f>
        <v>29.04297352342159</v>
      </c>
      <c r="M12" s="331"/>
      <c r="N12" s="331"/>
      <c r="O12" s="336">
        <f t="shared" si="0"/>
        <v>32.910683881875677</v>
      </c>
    </row>
    <row r="13" spans="1:15" x14ac:dyDescent="0.25">
      <c r="A13" s="334" t="s">
        <v>1150</v>
      </c>
      <c r="B13" s="335" t="s">
        <v>1151</v>
      </c>
      <c r="C13" s="329">
        <f>[5]HWF024_VIAR!C23</f>
        <v>30.556523759730453</v>
      </c>
      <c r="D13" s="330">
        <f>[6]HWF024_VIAR!C21</f>
        <v>32.320413149711243</v>
      </c>
      <c r="E13" s="331">
        <f>[7]HWF024_VIAR!C18</f>
        <v>40.177549250402677</v>
      </c>
      <c r="F13" s="331">
        <f>[8]HWF024_VIAR!C28</f>
        <v>35.461728395061733</v>
      </c>
      <c r="G13" s="331">
        <f>[9]HWF024_VIAR!C22</f>
        <v>29.022271016311169</v>
      </c>
      <c r="H13" s="331">
        <f>[10]HWF024_VIAR!C14</f>
        <v>31.113861386138613</v>
      </c>
      <c r="I13" s="331">
        <f>[11]HWF024_VIAR!C33</f>
        <v>30.095221455403166</v>
      </c>
      <c r="J13" s="331">
        <f>[1]HWF024_VIAR!C27</f>
        <v>36.781767441860467</v>
      </c>
      <c r="K13" s="331">
        <f>[2]HWF024_VIAR!C16</f>
        <v>39.77294228949858</v>
      </c>
      <c r="L13" s="331">
        <f>HWF024_VIAR!C18</f>
        <v>30.196650186661284</v>
      </c>
      <c r="M13" s="331"/>
      <c r="N13" s="331"/>
      <c r="O13" s="336">
        <f t="shared" si="0"/>
        <v>33.549892833077934</v>
      </c>
    </row>
    <row r="14" spans="1:15" x14ac:dyDescent="0.25">
      <c r="A14" s="334" t="s">
        <v>1150</v>
      </c>
      <c r="B14" s="335" t="s">
        <v>1152</v>
      </c>
      <c r="C14" s="329">
        <f>[5]HWF026_VIAR!C22</f>
        <v>33.340746054519364</v>
      </c>
      <c r="D14" s="330">
        <f>[6]HWF026_VIAR!C18</f>
        <v>41.043111676741972</v>
      </c>
      <c r="E14" s="331">
        <f>[7]HWF026_VIAR!C21</f>
        <v>29.608224479922598</v>
      </c>
      <c r="F14" s="331">
        <f>[8]HWF026_VIAR!C24</f>
        <v>28.909869743858728</v>
      </c>
      <c r="G14" s="331">
        <f>[9]HWF026_VIAR!C27</f>
        <v>31.46543035678291</v>
      </c>
      <c r="H14" s="331">
        <f>[10]HWF026_VIAR!C31</f>
        <v>28.566555811375459</v>
      </c>
      <c r="I14" s="331">
        <f>[11]HWF026_VIAR!C19</f>
        <v>36.347517730496456</v>
      </c>
      <c r="J14" s="331">
        <f>[1]HWF026_VIAR!C15</f>
        <v>45.03529763685313</v>
      </c>
      <c r="K14" s="331">
        <f>[2]HWF026_VIAR!C21</f>
        <v>28.139505708192196</v>
      </c>
      <c r="L14" s="331">
        <f>HWF026_VIAR!C22</f>
        <v>36.372420651363221</v>
      </c>
      <c r="M14" s="331"/>
      <c r="N14" s="331"/>
      <c r="O14" s="336">
        <f t="shared" si="0"/>
        <v>33.882867985010606</v>
      </c>
    </row>
    <row r="15" spans="1:15" x14ac:dyDescent="0.25">
      <c r="A15" s="334" t="s">
        <v>1150</v>
      </c>
      <c r="B15" s="335" t="s">
        <v>1153</v>
      </c>
      <c r="C15" s="329">
        <f>[5]JRY934_VIAR!C17</f>
        <v>29.82925324007406</v>
      </c>
      <c r="D15" s="330">
        <f>[6]JRY934_VIAR!C27</f>
        <v>37.23235945575361</v>
      </c>
      <c r="E15" s="331">
        <f>[7]JRY934_VIAR!C20</f>
        <v>39.012816901408449</v>
      </c>
      <c r="F15" s="331">
        <f>[8]JRY934_VIAR!C28</f>
        <v>28.243544957472661</v>
      </c>
      <c r="G15" s="331">
        <f>[9]JRY934_VIAR!C17</f>
        <v>28.458907152376721</v>
      </c>
      <c r="H15" s="331">
        <f>[10]JRY934_VIAR!C23</f>
        <v>32.55810764484059</v>
      </c>
      <c r="I15" s="331">
        <f>[11]JRY934_VIAR!C17</f>
        <v>41.581425556096768</v>
      </c>
      <c r="J15" s="331">
        <f>[1]JRY934_VIAR!C29</f>
        <v>34.293125810635537</v>
      </c>
      <c r="K15" s="331">
        <f>[2]JRY934_VIAR!C29</f>
        <v>32.144878706199457</v>
      </c>
      <c r="L15" s="331">
        <f>JRY934_VIAR!C29</f>
        <v>33.764564081960621</v>
      </c>
      <c r="M15" s="331"/>
      <c r="N15" s="331"/>
      <c r="O15" s="336">
        <f t="shared" si="0"/>
        <v>33.711898350681849</v>
      </c>
    </row>
    <row r="16" spans="1:15" x14ac:dyDescent="0.25">
      <c r="A16" s="334" t="s">
        <v>1154</v>
      </c>
      <c r="B16" s="335" t="s">
        <v>1155</v>
      </c>
      <c r="C16" s="329">
        <f>[5]JZP219_VIAR!C21</f>
        <v>29.006794564348521</v>
      </c>
      <c r="D16" s="330">
        <f>[6]JZP219_VIAR!C20</f>
        <v>29.693293697978596</v>
      </c>
      <c r="E16" s="331">
        <f>[7]JZP219_VIAR!C23</f>
        <v>25.830222047553548</v>
      </c>
      <c r="F16" s="331">
        <f>[8]JZP219_VIAR!C23</f>
        <v>31.294347932468803</v>
      </c>
      <c r="G16" s="331">
        <f>[9]JZP219_VIAR!C18</f>
        <v>31.881931818181819</v>
      </c>
      <c r="H16" s="331">
        <f>[10]JZP219_VIAR!C21</f>
        <v>31.200109529025188</v>
      </c>
      <c r="I16" s="331">
        <f>[11]JZP219_VIAR!C19</f>
        <v>31.310096153846157</v>
      </c>
      <c r="J16" s="331">
        <f>[1]JZP219_VIAR!C26</f>
        <v>27.164778955060285</v>
      </c>
      <c r="K16" s="331">
        <f>[2]JZP219_VIAR!C19</f>
        <v>27.189362677670793</v>
      </c>
      <c r="L16" s="331">
        <f>JZP219_VIAR!C23</f>
        <v>35.815915645277578</v>
      </c>
      <c r="M16" s="331"/>
      <c r="N16" s="331"/>
      <c r="O16" s="336">
        <f t="shared" si="0"/>
        <v>30.038685302141129</v>
      </c>
    </row>
    <row r="17" spans="1:15" x14ac:dyDescent="0.25">
      <c r="A17" s="334" t="s">
        <v>1156</v>
      </c>
      <c r="B17" s="335" t="s">
        <v>245</v>
      </c>
      <c r="C17" s="329">
        <f>[5]KMU569_VIAR!C25</f>
        <v>28.467246673490276</v>
      </c>
      <c r="D17" s="330">
        <f>[6]KMU569_VIAR!C23</f>
        <v>31.94939993512812</v>
      </c>
      <c r="E17" s="331">
        <f>[7]KMU569_VIAR!C33</f>
        <v>31.339298218314791</v>
      </c>
      <c r="F17" s="331">
        <f>[8]KMU569_VIAR!C18</f>
        <v>37.68494342906876</v>
      </c>
      <c r="G17" s="331">
        <f>[9]KMU569_VIAR!C22</f>
        <v>32.866943620178041</v>
      </c>
      <c r="H17" s="331">
        <f>[10]KMU569_VIAR!C29</f>
        <v>37.349075715370979</v>
      </c>
      <c r="I17" s="331">
        <f>[11]KMU569_VIAR!C21</f>
        <v>40.112994350282491</v>
      </c>
      <c r="J17" s="331">
        <f>[1]KMU569_VIAR!C15</f>
        <v>21.654275092936803</v>
      </c>
      <c r="K17" s="331">
        <f>[2]KMU569_VIAR!C16</f>
        <v>43.302086483217415</v>
      </c>
      <c r="L17" s="331">
        <f>KMU56_VIAR!C24</f>
        <v>43.675013041210228</v>
      </c>
      <c r="M17" s="331"/>
      <c r="N17" s="331"/>
      <c r="O17" s="336">
        <f t="shared" si="0"/>
        <v>34.840127655919787</v>
      </c>
    </row>
    <row r="18" spans="1:15" x14ac:dyDescent="0.25">
      <c r="A18" s="334" t="s">
        <v>1156</v>
      </c>
      <c r="B18" s="335" t="s">
        <v>423</v>
      </c>
      <c r="C18" s="329" t="s">
        <v>1105</v>
      </c>
      <c r="D18" s="330">
        <f>[6]KOE278_VIAR!C12</f>
        <v>46.791443850267378</v>
      </c>
      <c r="E18" s="331">
        <f>[7]KOE278_VIAR!C9</f>
        <v>0</v>
      </c>
      <c r="F18" s="331">
        <f>[8]KOE278_VIAR!C9</f>
        <v>0</v>
      </c>
      <c r="G18" s="331">
        <f>[9]KOE278_VIAR!C13</f>
        <v>36.442786069651739</v>
      </c>
      <c r="H18" s="331">
        <f>[10]KOE278_VIAR!C20</f>
        <v>36.253561253561259</v>
      </c>
      <c r="I18" s="331">
        <f>[11]KOE278_VIAR!C20</f>
        <v>27.447904996639032</v>
      </c>
      <c r="J18" s="331">
        <f>[1]KOE278_VIAR!C14</f>
        <v>33.227127901684113</v>
      </c>
      <c r="K18" s="331" t="s">
        <v>1105</v>
      </c>
      <c r="L18" s="331" t="s">
        <v>1105</v>
      </c>
      <c r="M18" s="331"/>
      <c r="N18" s="331"/>
      <c r="O18" s="336">
        <f t="shared" si="0"/>
        <v>25.737546295971931</v>
      </c>
    </row>
    <row r="19" spans="1:15" x14ac:dyDescent="0.25">
      <c r="A19" s="334" t="s">
        <v>1156</v>
      </c>
      <c r="B19" s="335" t="s">
        <v>269</v>
      </c>
      <c r="C19" s="329">
        <f>[5]KOL760_VIAR!C27</f>
        <v>29.111241332161342</v>
      </c>
      <c r="D19" s="330">
        <f>[6]KOL760_VIAR!C17</f>
        <v>38.473460026212322</v>
      </c>
      <c r="E19" s="331">
        <f>[7]KOL760_VIAR!C30</f>
        <v>30.867460681020003</v>
      </c>
      <c r="F19" s="331">
        <f>[8]KOL760_VIAR!C27</f>
        <v>31.901253259315332</v>
      </c>
      <c r="G19" s="331">
        <f>[9]KOL760_VIAR!C23</f>
        <v>37.299142857142861</v>
      </c>
      <c r="H19" s="331">
        <f>[10]KOL760_VIAR!C24</f>
        <v>32.32245523091423</v>
      </c>
      <c r="I19" s="331">
        <f>[11]KOL760_VIAR!C29</f>
        <v>31.343756857581745</v>
      </c>
      <c r="J19" s="331">
        <f>[1]KOL760_VIAR!C29</f>
        <v>40.823909531502423</v>
      </c>
      <c r="K19" s="331">
        <f>[2]KOL760_VIAR!C27</f>
        <v>35.765644634330236</v>
      </c>
      <c r="L19" s="331">
        <f>KOL760_VIAR!C25</f>
        <v>34.866423357664232</v>
      </c>
      <c r="M19" s="331"/>
      <c r="N19" s="331"/>
      <c r="O19" s="336">
        <f t="shared" si="0"/>
        <v>34.277474776784473</v>
      </c>
    </row>
    <row r="20" spans="1:15" x14ac:dyDescent="0.25">
      <c r="A20" s="334" t="s">
        <v>1147</v>
      </c>
      <c r="B20" s="335" t="s">
        <v>282</v>
      </c>
      <c r="C20" s="329">
        <f>[5]KWO766_VIAR!C24</f>
        <v>35.86972111553785</v>
      </c>
      <c r="D20" s="330">
        <f>[6]KWO766_VIAR!C20</f>
        <v>28.640934798847507</v>
      </c>
      <c r="E20" s="331">
        <f>[7]KWO766_VIAR!C21</f>
        <v>30.893006408470324</v>
      </c>
      <c r="F20" s="331">
        <f>[8]KWO766_VIAR!C19</f>
        <v>27.573406829792951</v>
      </c>
      <c r="G20" s="331">
        <f>[9]KWO766_VIAR!C16</f>
        <v>32.57880617035547</v>
      </c>
      <c r="H20" s="331">
        <f>[10]KWO766_VIAR!C19</f>
        <v>32.132347178683382</v>
      </c>
      <c r="I20" s="331">
        <f>[11]KWO766_VIAR!C17</f>
        <v>32.179836113549896</v>
      </c>
      <c r="J20" s="331" t="s">
        <v>1105</v>
      </c>
      <c r="K20" s="331">
        <f>[2]KWO766_VIAR!C16</f>
        <v>23.38568935427574</v>
      </c>
      <c r="L20" s="331">
        <f>KWO766_VIAR!C12</f>
        <v>41.71803037837838</v>
      </c>
      <c r="M20" s="331"/>
      <c r="N20" s="331"/>
      <c r="O20" s="336">
        <f t="shared" si="0"/>
        <v>31.663530927543498</v>
      </c>
    </row>
    <row r="21" spans="1:15" x14ac:dyDescent="0.25">
      <c r="A21" s="334" t="s">
        <v>1156</v>
      </c>
      <c r="B21" s="335" t="s">
        <v>285</v>
      </c>
      <c r="C21" s="329">
        <f>[5]LUY734_VIAR!C13</f>
        <v>17.796610169491526</v>
      </c>
      <c r="D21" s="330">
        <f>[6]LUY734_VIAR!C31</f>
        <v>32.121705517160592</v>
      </c>
      <c r="E21" s="331">
        <f>[7]LUY734_VIAR!C29</f>
        <v>35.369452633256309</v>
      </c>
      <c r="F21" s="331">
        <f>[8]LUY734_VIAR!C29</f>
        <v>31.280699927090932</v>
      </c>
      <c r="G21" s="331">
        <f>[9]LUY734_VIAR!C27</f>
        <v>36.172150745758849</v>
      </c>
      <c r="H21" s="331">
        <f>[10]LUY734_VIAR!C22</f>
        <v>34.709392265193365</v>
      </c>
      <c r="I21" s="331">
        <f>[11]LUY734_VIAR!C28</f>
        <v>29.188118811881186</v>
      </c>
      <c r="J21" s="331">
        <f>[1]LUY734_VIAR!C34</f>
        <v>33.213085621970926</v>
      </c>
      <c r="K21" s="331">
        <f>[2]LUY734_VIAR!C31</f>
        <v>39.4542179525668</v>
      </c>
      <c r="L21" s="331">
        <f>LUY734_VIAR!C32</f>
        <v>29.238692342140617</v>
      </c>
      <c r="M21" s="331"/>
      <c r="N21" s="331"/>
      <c r="O21" s="336">
        <f t="shared" si="0"/>
        <v>31.854412598651113</v>
      </c>
    </row>
    <row r="22" spans="1:15" x14ac:dyDescent="0.25">
      <c r="A22" s="334" t="s">
        <v>1156</v>
      </c>
      <c r="B22" s="335" t="s">
        <v>288</v>
      </c>
      <c r="C22" s="329">
        <f>[5]MAV483_VIAR!C22</f>
        <v>51.069003631770094</v>
      </c>
      <c r="D22" s="330">
        <f>[6]MAV483_VIAR!C25</f>
        <v>29.654539896056253</v>
      </c>
      <c r="E22" s="331">
        <f>[7]MAV483_VIAR!C24</f>
        <v>37.780534595216778</v>
      </c>
      <c r="F22" s="331">
        <f>[8]MAV483_VIAR!C18</f>
        <v>40.45924875974486</v>
      </c>
      <c r="G22" s="331">
        <f>[9]MAV483_VIAR!C22</f>
        <v>35.977155172413795</v>
      </c>
      <c r="H22" s="331">
        <f>[10]MAV483_VIAR!C24</f>
        <v>42.938768567864834</v>
      </c>
      <c r="I22" s="331">
        <f>[11]MAV483_VIAR!C26</f>
        <v>35.717653061224489</v>
      </c>
      <c r="J22" s="331">
        <f>[1]MAV483_VIAR!C27</f>
        <v>42.16634944803959</v>
      </c>
      <c r="K22" s="331">
        <f>[2]MAV483_VIAR!C26</f>
        <v>37.938473081973363</v>
      </c>
      <c r="L22" s="331">
        <f>MAV483_VIAR!C29</f>
        <v>42.37155710613294</v>
      </c>
      <c r="M22" s="331"/>
      <c r="N22" s="331"/>
      <c r="O22" s="336">
        <f t="shared" si="0"/>
        <v>39.6073283320437</v>
      </c>
    </row>
    <row r="23" spans="1:15" x14ac:dyDescent="0.25">
      <c r="A23" s="334" t="s">
        <v>1147</v>
      </c>
      <c r="B23" s="335" t="s">
        <v>302</v>
      </c>
      <c r="C23" s="329">
        <f>[5]MMN838_VIAR!C26</f>
        <v>37.782698675496682</v>
      </c>
      <c r="D23" s="330">
        <f>[6]MMN838_VIAR!C17</f>
        <v>40.146485093853514</v>
      </c>
      <c r="E23" s="331">
        <f>[7]MMN838_VIAR!C33</f>
        <v>32.976459510357813</v>
      </c>
      <c r="F23" s="331">
        <f>[8]MMN838_VIAR!C26</f>
        <v>40.503022231328757</v>
      </c>
      <c r="G23" s="331">
        <f>[9]MMN838_VIAR!C16</f>
        <v>35.31512093266052</v>
      </c>
      <c r="H23" s="331">
        <f>[10]MMN838_VIAR!C23</f>
        <v>39.441497444398401</v>
      </c>
      <c r="I23" s="331">
        <f>[11]MMN838_VIAR!C31</f>
        <v>33.115199142704057</v>
      </c>
      <c r="J23" s="331">
        <f>[1]MMN838_VIAR!C33</f>
        <v>34.528552456839314</v>
      </c>
      <c r="K23" s="331">
        <f>[2]MMN838_VIAR!C37</f>
        <v>25.332725615314494</v>
      </c>
      <c r="L23" s="331">
        <f>MMN838_VIAR!C29</f>
        <v>32.510808510638292</v>
      </c>
      <c r="M23" s="331"/>
      <c r="N23" s="331"/>
      <c r="O23" s="336">
        <f t="shared" si="0"/>
        <v>35.165256961359184</v>
      </c>
    </row>
    <row r="24" spans="1:15" x14ac:dyDescent="0.25">
      <c r="A24" s="334" t="s">
        <v>1157</v>
      </c>
      <c r="B24" s="335" t="s">
        <v>316</v>
      </c>
      <c r="C24" s="329">
        <f>[5]ORO021_VIAR!C24</f>
        <v>39.495204442200908</v>
      </c>
      <c r="D24" s="330">
        <f>[6]ORO021_VIAR!C28</f>
        <v>38.421048080249051</v>
      </c>
      <c r="E24" s="331">
        <f>[7]ORO021_VIAR!C28</f>
        <v>39.650815688996879</v>
      </c>
      <c r="F24" s="331">
        <f>[8]ORO021_VIAR!C25</f>
        <v>38.003437607425234</v>
      </c>
      <c r="G24" s="331">
        <f>[9]ORO021_VIAR!C17</f>
        <v>38.554396423248882</v>
      </c>
      <c r="H24" s="331">
        <f>[10]ORO021_VIAR!C22</f>
        <v>42.715538847117799</v>
      </c>
      <c r="I24" s="331">
        <f>[11]ORO021_VIAR!C25</f>
        <v>37.488103972329945</v>
      </c>
      <c r="J24" s="331">
        <f>[1]ORO021_VIAR!C28</f>
        <v>44.142636924192963</v>
      </c>
      <c r="K24" s="331">
        <f>[2]ORO021_VIAR!C26</f>
        <v>35.065765314638625</v>
      </c>
      <c r="L24" s="331">
        <f>ORO021_VIAR!C24</f>
        <v>38.339385065885793</v>
      </c>
      <c r="M24" s="331"/>
      <c r="N24" s="331"/>
      <c r="O24" s="336">
        <f t="shared" si="0"/>
        <v>39.187633236628606</v>
      </c>
    </row>
    <row r="25" spans="1:15" ht="15.75" thickBot="1" x14ac:dyDescent="0.3">
      <c r="A25" s="337" t="s">
        <v>1157</v>
      </c>
      <c r="B25" s="338" t="s">
        <v>319</v>
      </c>
      <c r="C25" s="329">
        <f>[5]OXJ862_VIAR!C22</f>
        <v>44.058903601039475</v>
      </c>
      <c r="D25" s="339">
        <f>[6]OXJ862_VIAR!C11</f>
        <v>33.086452095808383</v>
      </c>
      <c r="E25" s="331">
        <f>[7]OXJ862_VIAR!C16</f>
        <v>42.499373904332586</v>
      </c>
      <c r="F25" s="331">
        <f>[8]OXJ862_VIAR!C26</f>
        <v>32.12808059003418</v>
      </c>
      <c r="G25" s="331">
        <f>[9]OXJ862_VIAR!C21</f>
        <v>41.914849428868123</v>
      </c>
      <c r="H25" s="331">
        <f>[10]OXJ862_VIAR!C26</f>
        <v>41.845255639950118</v>
      </c>
      <c r="I25" s="331">
        <f>[11]OXJ862_VIAR!C19</f>
        <v>42.270146137787052</v>
      </c>
      <c r="J25" s="331">
        <f>[1]OXJ862_VIAR!C22</f>
        <v>36.36137631156064</v>
      </c>
      <c r="K25" s="340">
        <f>[2]OXJ862_VIAR!C27</f>
        <v>37.876069637061086</v>
      </c>
      <c r="L25" s="331">
        <f>OXJ862_VIAR!C26</f>
        <v>41.839220207525415</v>
      </c>
      <c r="M25" s="340"/>
      <c r="N25" s="340"/>
      <c r="O25" s="341">
        <f t="shared" si="0"/>
        <v>39.38797275539671</v>
      </c>
    </row>
    <row r="26" spans="1:15" ht="15.75" thickBot="1" x14ac:dyDescent="0.3">
      <c r="A26" s="615" t="s">
        <v>1158</v>
      </c>
      <c r="B26" s="616"/>
      <c r="C26" s="342">
        <f t="shared" ref="C26:N26" si="1">AVERAGE(C5:C25)</f>
        <v>33.316483133059982</v>
      </c>
      <c r="D26" s="342">
        <f t="shared" si="1"/>
        <v>34.579691602730904</v>
      </c>
      <c r="E26" s="342">
        <f t="shared" si="1"/>
        <v>31.830812412798259</v>
      </c>
      <c r="F26" s="342">
        <f t="shared" si="1"/>
        <v>31.370146657729293</v>
      </c>
      <c r="G26" s="342">
        <f t="shared" si="1"/>
        <v>33.097749626631803</v>
      </c>
      <c r="H26" s="342">
        <f t="shared" si="1"/>
        <v>35.229497329141729</v>
      </c>
      <c r="I26" s="342">
        <f t="shared" si="1"/>
        <v>35.371635266897002</v>
      </c>
      <c r="J26" s="342">
        <f t="shared" si="1"/>
        <v>34.770969001720623</v>
      </c>
      <c r="K26" s="342">
        <f t="shared" si="1"/>
        <v>34.457146058777859</v>
      </c>
      <c r="L26" s="342">
        <f t="shared" si="1"/>
        <v>35.701410563860449</v>
      </c>
      <c r="M26" s="342" t="e">
        <f t="shared" si="1"/>
        <v>#DIV/0!</v>
      </c>
      <c r="N26" s="342" t="e">
        <f t="shared" si="1"/>
        <v>#DIV/0!</v>
      </c>
    </row>
    <row r="27" spans="1:15" ht="15.75" thickBot="1" x14ac:dyDescent="0.3">
      <c r="A27" s="600" t="s">
        <v>1159</v>
      </c>
      <c r="B27" s="601"/>
      <c r="C27" s="602">
        <f>AVERAGE(C26:L26)</f>
        <v>33.972554165334792</v>
      </c>
      <c r="D27" s="603"/>
      <c r="E27" s="603"/>
      <c r="F27" s="603"/>
      <c r="G27" s="603"/>
      <c r="H27" s="603"/>
      <c r="I27" s="603"/>
      <c r="J27" s="603"/>
      <c r="K27" s="603"/>
      <c r="L27" s="603"/>
      <c r="M27" s="603"/>
      <c r="N27" s="604"/>
    </row>
  </sheetData>
  <mergeCells count="7">
    <mergeCell ref="A27:B27"/>
    <mergeCell ref="C27:N27"/>
    <mergeCell ref="A1:O2"/>
    <mergeCell ref="A3:A4"/>
    <mergeCell ref="B3:B4"/>
    <mergeCell ref="O3:O4"/>
    <mergeCell ref="A26:B26"/>
  </mergeCells>
  <conditionalFormatting sqref="C5:N25">
    <cfRule type="cellIs" dxfId="113" priority="10" operator="lessThan">
      <formula>29</formula>
    </cfRule>
    <cfRule type="cellIs" dxfId="112" priority="11" operator="lessThan">
      <formula>39</formula>
    </cfRule>
    <cfRule type="cellIs" dxfId="111" priority="12" operator="greaterThan">
      <formula>39</formula>
    </cfRule>
  </conditionalFormatting>
  <conditionalFormatting sqref="O5:O25">
    <cfRule type="cellIs" dxfId="110" priority="7" operator="lessThan">
      <formula>29</formula>
    </cfRule>
    <cfRule type="cellIs" dxfId="109" priority="8" operator="lessThan">
      <formula>39</formula>
    </cfRule>
    <cfRule type="cellIs" dxfId="108" priority="9" operator="greaterThan">
      <formula>39</formula>
    </cfRule>
  </conditionalFormatting>
  <conditionalFormatting sqref="C26:N26">
    <cfRule type="cellIs" dxfId="107" priority="4" operator="lessThan">
      <formula>29</formula>
    </cfRule>
    <cfRule type="cellIs" dxfId="106" priority="5" operator="lessThan">
      <formula>39</formula>
    </cfRule>
    <cfRule type="cellIs" dxfId="105" priority="6" operator="greaterThan">
      <formula>39</formula>
    </cfRule>
  </conditionalFormatting>
  <conditionalFormatting sqref="C27">
    <cfRule type="cellIs" dxfId="104" priority="1" operator="lessThan">
      <formula>29</formula>
    </cfRule>
    <cfRule type="cellIs" dxfId="103" priority="2" operator="lessThan">
      <formula>39</formula>
    </cfRule>
    <cfRule type="cellIs" dxfId="102" priority="3" operator="greaterThan">
      <formula>39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A1:Q23"/>
  <sheetViews>
    <sheetView topLeftCell="A7" zoomScaleNormal="100" workbookViewId="0">
      <selection activeCell="B18" sqref="B18"/>
    </sheetView>
  </sheetViews>
  <sheetFormatPr baseColWidth="10" defaultRowHeight="15" x14ac:dyDescent="0.25"/>
  <cols>
    <col min="1" max="1" width="14.42578125" style="2" bestFit="1" customWidth="1"/>
    <col min="2" max="2" width="12.42578125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24.85546875" style="2" bestFit="1" customWidth="1"/>
    <col min="8" max="9" width="25.5703125" style="2" bestFit="1" customWidth="1"/>
    <col min="10" max="10" width="8.5703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2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7" t="s">
        <v>367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44471</v>
      </c>
      <c r="B4" s="4">
        <v>2816268</v>
      </c>
      <c r="C4" s="4" t="s">
        <v>9</v>
      </c>
      <c r="D4" s="5">
        <v>0</v>
      </c>
      <c r="E4" s="4"/>
      <c r="F4" s="4" t="s">
        <v>45</v>
      </c>
      <c r="G4" s="4" t="s">
        <v>46</v>
      </c>
      <c r="H4" s="4" t="s">
        <v>47</v>
      </c>
      <c r="I4" s="4" t="s">
        <v>47</v>
      </c>
      <c r="J4" s="4" t="s">
        <v>48</v>
      </c>
      <c r="K4" s="4" t="s">
        <v>49</v>
      </c>
      <c r="L4" s="4">
        <v>648</v>
      </c>
      <c r="M4" s="4">
        <v>0</v>
      </c>
      <c r="N4" s="4" t="s">
        <v>10</v>
      </c>
      <c r="O4" s="24">
        <v>0</v>
      </c>
      <c r="P4" s="28">
        <v>0</v>
      </c>
      <c r="Q4" s="24">
        <v>0</v>
      </c>
    </row>
    <row r="5" spans="1:17" ht="25.5" customHeight="1" x14ac:dyDescent="0.25">
      <c r="A5" s="10">
        <v>44473</v>
      </c>
      <c r="B5" s="11">
        <v>3029182</v>
      </c>
      <c r="C5" s="11" t="s">
        <v>50</v>
      </c>
      <c r="D5" s="125">
        <v>78770.600000000006</v>
      </c>
      <c r="E5" s="11" t="s">
        <v>51</v>
      </c>
      <c r="F5" s="11" t="s">
        <v>46</v>
      </c>
      <c r="G5" s="11" t="s">
        <v>52</v>
      </c>
      <c r="H5" s="11" t="s">
        <v>47</v>
      </c>
      <c r="I5" s="11" t="s">
        <v>47</v>
      </c>
      <c r="J5" s="11" t="s">
        <v>48</v>
      </c>
      <c r="K5" s="11" t="s">
        <v>49</v>
      </c>
      <c r="L5" s="11">
        <v>450</v>
      </c>
      <c r="M5" s="11">
        <v>29120</v>
      </c>
      <c r="N5" s="11" t="s">
        <v>38</v>
      </c>
      <c r="O5" s="630">
        <v>24182.574199999999</v>
      </c>
      <c r="P5" s="636">
        <f>O5/D5*100</f>
        <v>30.699999999999996</v>
      </c>
      <c r="Q5" s="630">
        <f>D5/(L5+L6)</f>
        <v>87.5228888888889</v>
      </c>
    </row>
    <row r="6" spans="1:17" ht="25.5" customHeight="1" x14ac:dyDescent="0.25">
      <c r="A6" s="10">
        <v>44474</v>
      </c>
      <c r="B6" s="11">
        <v>2816288</v>
      </c>
      <c r="C6" s="11" t="s">
        <v>9</v>
      </c>
      <c r="D6" s="125">
        <v>0</v>
      </c>
      <c r="E6" s="11"/>
      <c r="F6" s="11" t="s">
        <v>52</v>
      </c>
      <c r="G6" s="11" t="s">
        <v>46</v>
      </c>
      <c r="H6" s="11" t="s">
        <v>47</v>
      </c>
      <c r="I6" s="11" t="s">
        <v>47</v>
      </c>
      <c r="J6" s="11" t="s">
        <v>48</v>
      </c>
      <c r="K6" s="11" t="s">
        <v>49</v>
      </c>
      <c r="L6" s="11">
        <v>450</v>
      </c>
      <c r="M6" s="11">
        <v>0</v>
      </c>
      <c r="N6" s="11" t="s">
        <v>10</v>
      </c>
      <c r="O6" s="630"/>
      <c r="P6" s="636"/>
      <c r="Q6" s="630"/>
    </row>
    <row r="7" spans="1:17" ht="25.5" customHeight="1" x14ac:dyDescent="0.25">
      <c r="A7" s="14">
        <v>44475</v>
      </c>
      <c r="B7" s="15">
        <v>3030497</v>
      </c>
      <c r="C7" s="15" t="s">
        <v>50</v>
      </c>
      <c r="D7" s="129">
        <v>105800.76</v>
      </c>
      <c r="E7" s="15" t="s">
        <v>51</v>
      </c>
      <c r="F7" s="15" t="s">
        <v>46</v>
      </c>
      <c r="G7" s="15" t="s">
        <v>45</v>
      </c>
      <c r="H7" s="15" t="s">
        <v>47</v>
      </c>
      <c r="I7" s="15" t="s">
        <v>47</v>
      </c>
      <c r="J7" s="15" t="s">
        <v>48</v>
      </c>
      <c r="K7" s="15" t="s">
        <v>49</v>
      </c>
      <c r="L7" s="15">
        <v>648</v>
      </c>
      <c r="M7" s="15">
        <v>29820</v>
      </c>
      <c r="N7" s="15" t="s">
        <v>38</v>
      </c>
      <c r="O7" s="632">
        <v>32480.833320000002</v>
      </c>
      <c r="P7" s="646">
        <f>O7/D7*100</f>
        <v>30.700000000000006</v>
      </c>
      <c r="Q7" s="632">
        <f>D7/(L7+L8)</f>
        <v>81.636388888888888</v>
      </c>
    </row>
    <row r="8" spans="1:17" ht="25.5" customHeight="1" x14ac:dyDescent="0.25">
      <c r="A8" s="85">
        <v>44477</v>
      </c>
      <c r="B8" s="86">
        <v>2816393</v>
      </c>
      <c r="C8" s="86" t="s">
        <v>9</v>
      </c>
      <c r="D8" s="133">
        <v>0</v>
      </c>
      <c r="E8" s="86"/>
      <c r="F8" s="86" t="s">
        <v>45</v>
      </c>
      <c r="G8" s="86" t="s">
        <v>46</v>
      </c>
      <c r="H8" s="86" t="s">
        <v>47</v>
      </c>
      <c r="I8" s="86" t="s">
        <v>47</v>
      </c>
      <c r="J8" s="86" t="s">
        <v>48</v>
      </c>
      <c r="K8" s="86" t="s">
        <v>49</v>
      </c>
      <c r="L8" s="86">
        <v>648</v>
      </c>
      <c r="M8" s="86">
        <v>0</v>
      </c>
      <c r="N8" s="86" t="s">
        <v>10</v>
      </c>
      <c r="O8" s="632"/>
      <c r="P8" s="646"/>
      <c r="Q8" s="632"/>
    </row>
    <row r="9" spans="1:17" x14ac:dyDescent="0.25">
      <c r="A9" s="9"/>
      <c r="B9" s="9"/>
      <c r="C9" s="9"/>
      <c r="D9" s="18">
        <f>SUM(D4:D8)</f>
        <v>184571.36</v>
      </c>
      <c r="E9" s="9"/>
      <c r="F9" s="9"/>
      <c r="G9" s="9"/>
      <c r="H9" s="9"/>
      <c r="I9" s="9"/>
      <c r="J9" s="9"/>
      <c r="K9" s="9"/>
      <c r="L9" s="9">
        <f>SUM(L4:L8)</f>
        <v>2844</v>
      </c>
      <c r="M9" s="9"/>
      <c r="N9" s="9"/>
      <c r="O9" s="24">
        <f>SUM(O4:O8)</f>
        <v>56663.407520000001</v>
      </c>
      <c r="P9" s="28">
        <f>O9/D9*100</f>
        <v>30.700000000000006</v>
      </c>
      <c r="Q9" s="26">
        <f>D9/L9</f>
        <v>64.898509142053442</v>
      </c>
    </row>
    <row r="11" spans="1:17" x14ac:dyDescent="0.25">
      <c r="A11" s="99" t="s">
        <v>322</v>
      </c>
      <c r="B11" s="100" t="s">
        <v>328</v>
      </c>
      <c r="C11" s="101"/>
      <c r="D11" s="102"/>
    </row>
    <row r="12" spans="1:17" x14ac:dyDescent="0.25">
      <c r="A12" s="103">
        <f>D9/L9</f>
        <v>64.898509142053442</v>
      </c>
      <c r="B12" s="9"/>
      <c r="C12" s="104"/>
      <c r="D12" s="105"/>
    </row>
    <row r="13" spans="1:17" x14ac:dyDescent="0.25">
      <c r="D13" s="25"/>
    </row>
    <row r="14" spans="1:17" x14ac:dyDescent="0.25">
      <c r="A14" s="36"/>
      <c r="B14" s="36" t="s">
        <v>329</v>
      </c>
      <c r="C14" s="36" t="s">
        <v>330</v>
      </c>
      <c r="D14" s="106" t="s">
        <v>49</v>
      </c>
    </row>
    <row r="15" spans="1:17" x14ac:dyDescent="0.25">
      <c r="A15" s="7" t="s">
        <v>331</v>
      </c>
      <c r="B15" s="42">
        <f>D9</f>
        <v>184571.36</v>
      </c>
      <c r="C15" s="45">
        <f>B16</f>
        <v>56663.407520000001</v>
      </c>
      <c r="D15" s="46">
        <f>C15/B15</f>
        <v>0.30700000000000005</v>
      </c>
    </row>
    <row r="16" spans="1:17" x14ac:dyDescent="0.25">
      <c r="A16" s="47" t="s">
        <v>27</v>
      </c>
      <c r="B16" s="24">
        <f>O9</f>
        <v>56663.407520000001</v>
      </c>
      <c r="C16" s="9"/>
      <c r="D16" s="25"/>
    </row>
    <row r="17" spans="1:4" x14ac:dyDescent="0.25">
      <c r="A17" s="48" t="s">
        <v>332</v>
      </c>
      <c r="B17" s="107"/>
      <c r="C17" s="49">
        <f>(12*(78578.313+12454.55))/(150000+80000)*L9</f>
        <v>13507.693688973912</v>
      </c>
      <c r="D17" s="25"/>
    </row>
    <row r="18" spans="1:4" x14ac:dyDescent="0.25">
      <c r="A18" s="48" t="s">
        <v>335</v>
      </c>
      <c r="B18" s="107"/>
      <c r="C18" s="42"/>
      <c r="D18" s="25"/>
    </row>
    <row r="19" spans="1:4" x14ac:dyDescent="0.25">
      <c r="A19" s="48" t="s">
        <v>336</v>
      </c>
      <c r="B19" s="107"/>
      <c r="C19" s="42">
        <f>'PATENTE MUNICIPAL'!I49</f>
        <v>20.833333333333332</v>
      </c>
      <c r="D19" s="25"/>
    </row>
    <row r="20" spans="1:4" x14ac:dyDescent="0.25">
      <c r="A20" s="48" t="s">
        <v>337</v>
      </c>
      <c r="B20" s="107"/>
      <c r="C20" s="42">
        <f>SEGURO!K53</f>
        <v>261.09831688804553</v>
      </c>
      <c r="D20" s="25"/>
    </row>
    <row r="21" spans="1:4" x14ac:dyDescent="0.25">
      <c r="A21" s="48" t="s">
        <v>339</v>
      </c>
      <c r="B21" s="107"/>
      <c r="C21" s="42">
        <f>'GASTOS SEMI'!H154</f>
        <v>2612.3199999999997</v>
      </c>
      <c r="D21" s="25"/>
    </row>
    <row r="22" spans="1:4" x14ac:dyDescent="0.25">
      <c r="A22" s="48" t="s">
        <v>340</v>
      </c>
      <c r="B22" s="107"/>
      <c r="C22" s="51">
        <f>SUM(C17:C21)</f>
        <v>16401.945339195292</v>
      </c>
      <c r="D22" s="25"/>
    </row>
    <row r="23" spans="1:4" x14ac:dyDescent="0.25">
      <c r="A23" s="36" t="s">
        <v>341</v>
      </c>
      <c r="B23" s="107"/>
      <c r="C23" s="53">
        <f>C15-C16-C22</f>
        <v>40261.462180804709</v>
      </c>
      <c r="D23" s="106">
        <f>+B23+C23</f>
        <v>40261.462180804709</v>
      </c>
    </row>
  </sheetData>
  <sortState xmlns:xlrd2="http://schemas.microsoft.com/office/spreadsheetml/2017/richdata2" ref="A2:P7">
    <sortCondition ref="A1"/>
  </sortState>
  <mergeCells count="7">
    <mergeCell ref="A1:Q2"/>
    <mergeCell ref="Q7:Q8"/>
    <mergeCell ref="P7:P8"/>
    <mergeCell ref="O7:O8"/>
    <mergeCell ref="Q5:Q6"/>
    <mergeCell ref="P5:P6"/>
    <mergeCell ref="O5:O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92D050"/>
  </sheetPr>
  <dimension ref="A1:Q38"/>
  <sheetViews>
    <sheetView topLeftCell="H1" zoomScaleNormal="100" workbookViewId="0">
      <selection activeCell="D33" sqref="D33:E35"/>
    </sheetView>
  </sheetViews>
  <sheetFormatPr baseColWidth="10" defaultRowHeight="15" x14ac:dyDescent="0.25"/>
  <cols>
    <col min="1" max="1" width="14.42578125" style="2" bestFit="1" customWidth="1"/>
    <col min="2" max="3" width="14" style="2" bestFit="1" customWidth="1"/>
    <col min="4" max="4" width="14.5703125" style="2" bestFit="1" customWidth="1"/>
    <col min="5" max="5" width="41" style="2" bestFit="1" customWidth="1"/>
    <col min="6" max="7" width="47.42578125" style="2" bestFit="1" customWidth="1"/>
    <col min="8" max="8" width="18.42578125" style="2" bestFit="1" customWidth="1"/>
    <col min="9" max="9" width="11.710937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7" t="s">
        <v>368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3050308</v>
      </c>
      <c r="C4" s="11" t="s">
        <v>50</v>
      </c>
      <c r="D4" s="125">
        <v>97275.4</v>
      </c>
      <c r="E4" s="11" t="s">
        <v>68</v>
      </c>
      <c r="F4" s="11" t="s">
        <v>46</v>
      </c>
      <c r="G4" s="11" t="s">
        <v>69</v>
      </c>
      <c r="H4" s="11" t="s">
        <v>70</v>
      </c>
      <c r="I4" s="11" t="s">
        <v>71</v>
      </c>
      <c r="J4" s="11" t="s">
        <v>72</v>
      </c>
      <c r="K4" s="11" t="s">
        <v>73</v>
      </c>
      <c r="L4" s="11">
        <v>528</v>
      </c>
      <c r="M4" s="11">
        <v>29500</v>
      </c>
      <c r="N4" s="11" t="s">
        <v>38</v>
      </c>
      <c r="O4" s="637">
        <v>64143.040000000001</v>
      </c>
      <c r="P4" s="631">
        <f>O4/(D4+D6)*100</f>
        <v>30.700002014981028</v>
      </c>
      <c r="Q4" s="630">
        <f>(D4+D6)/(L4+L5+L6)</f>
        <v>149.55974946313529</v>
      </c>
    </row>
    <row r="5" spans="1:17" ht="25.5" customHeight="1" x14ac:dyDescent="0.25">
      <c r="A5" s="10">
        <v>44471</v>
      </c>
      <c r="B5" s="11">
        <v>2816284</v>
      </c>
      <c r="C5" s="11" t="s">
        <v>9</v>
      </c>
      <c r="D5" s="125">
        <v>0</v>
      </c>
      <c r="E5" s="11"/>
      <c r="F5" s="11" t="s">
        <v>69</v>
      </c>
      <c r="G5" s="11" t="s">
        <v>74</v>
      </c>
      <c r="H5" s="11" t="s">
        <v>70</v>
      </c>
      <c r="I5" s="11" t="s">
        <v>71</v>
      </c>
      <c r="J5" s="11" t="s">
        <v>72</v>
      </c>
      <c r="K5" s="11" t="s">
        <v>73</v>
      </c>
      <c r="L5" s="11">
        <v>169</v>
      </c>
      <c r="M5" s="11">
        <v>0</v>
      </c>
      <c r="N5" s="11" t="s">
        <v>10</v>
      </c>
      <c r="O5" s="650"/>
      <c r="P5" s="631"/>
      <c r="Q5" s="630"/>
    </row>
    <row r="6" spans="1:17" ht="25.5" customHeight="1" x14ac:dyDescent="0.25">
      <c r="A6" s="10">
        <v>44473</v>
      </c>
      <c r="B6" s="11">
        <v>3026138</v>
      </c>
      <c r="C6" s="11" t="s">
        <v>50</v>
      </c>
      <c r="D6" s="125">
        <v>111659.57</v>
      </c>
      <c r="E6" s="11" t="s">
        <v>75</v>
      </c>
      <c r="F6" s="11" t="s">
        <v>74</v>
      </c>
      <c r="G6" s="11" t="s">
        <v>46</v>
      </c>
      <c r="H6" s="11" t="s">
        <v>70</v>
      </c>
      <c r="I6" s="11" t="s">
        <v>71</v>
      </c>
      <c r="J6" s="11" t="s">
        <v>72</v>
      </c>
      <c r="K6" s="11" t="s">
        <v>73</v>
      </c>
      <c r="L6" s="11">
        <v>700</v>
      </c>
      <c r="M6" s="11">
        <v>27480</v>
      </c>
      <c r="N6" s="11" t="s">
        <v>38</v>
      </c>
      <c r="O6" s="638"/>
      <c r="P6" s="631"/>
      <c r="Q6" s="630"/>
    </row>
    <row r="7" spans="1:17" ht="25.5" customHeight="1" x14ac:dyDescent="0.25">
      <c r="A7" s="16">
        <v>44475</v>
      </c>
      <c r="B7" s="17">
        <v>3030631</v>
      </c>
      <c r="C7" s="17" t="s">
        <v>50</v>
      </c>
      <c r="D7" s="128">
        <v>101979.57</v>
      </c>
      <c r="E7" s="17" t="s">
        <v>51</v>
      </c>
      <c r="F7" s="17" t="s">
        <v>46</v>
      </c>
      <c r="G7" s="17" t="s">
        <v>76</v>
      </c>
      <c r="H7" s="17" t="s">
        <v>70</v>
      </c>
      <c r="I7" s="17" t="s">
        <v>71</v>
      </c>
      <c r="J7" s="17" t="s">
        <v>72</v>
      </c>
      <c r="K7" s="17" t="s">
        <v>73</v>
      </c>
      <c r="L7" s="17">
        <v>680</v>
      </c>
      <c r="M7" s="17">
        <v>27420</v>
      </c>
      <c r="N7" s="17" t="s">
        <v>38</v>
      </c>
      <c r="O7" s="644">
        <v>31307.727989999999</v>
      </c>
      <c r="P7" s="629">
        <f>O7/D7*100</f>
        <v>30.7</v>
      </c>
      <c r="Q7" s="628">
        <f>D7/(L7+L8)</f>
        <v>74.984977941176481</v>
      </c>
    </row>
    <row r="8" spans="1:17" ht="25.5" customHeight="1" x14ac:dyDescent="0.25">
      <c r="A8" s="16">
        <v>44477</v>
      </c>
      <c r="B8" s="17">
        <v>2816385</v>
      </c>
      <c r="C8" s="17" t="s">
        <v>9</v>
      </c>
      <c r="D8" s="128">
        <v>0</v>
      </c>
      <c r="E8" s="17"/>
      <c r="F8" s="17" t="s">
        <v>76</v>
      </c>
      <c r="G8" s="17" t="s">
        <v>46</v>
      </c>
      <c r="H8" s="17" t="s">
        <v>70</v>
      </c>
      <c r="I8" s="17" t="s">
        <v>71</v>
      </c>
      <c r="J8" s="17" t="s">
        <v>72</v>
      </c>
      <c r="K8" s="17" t="s">
        <v>73</v>
      </c>
      <c r="L8" s="17">
        <v>680</v>
      </c>
      <c r="M8" s="17">
        <v>0</v>
      </c>
      <c r="N8" s="17" t="s">
        <v>10</v>
      </c>
      <c r="O8" s="645"/>
      <c r="P8" s="629"/>
      <c r="Q8" s="628"/>
    </row>
    <row r="9" spans="1:17" ht="25.5" customHeight="1" x14ac:dyDescent="0.25">
      <c r="A9" s="12">
        <v>44477</v>
      </c>
      <c r="B9" s="13">
        <v>3031462</v>
      </c>
      <c r="C9" s="13" t="s">
        <v>50</v>
      </c>
      <c r="D9" s="127">
        <v>97696.12</v>
      </c>
      <c r="E9" s="13" t="s">
        <v>51</v>
      </c>
      <c r="F9" s="13" t="s">
        <v>46</v>
      </c>
      <c r="G9" s="13" t="s">
        <v>77</v>
      </c>
      <c r="H9" s="13" t="s">
        <v>70</v>
      </c>
      <c r="I9" s="13" t="s">
        <v>71</v>
      </c>
      <c r="J9" s="13" t="s">
        <v>72</v>
      </c>
      <c r="K9" s="13" t="s">
        <v>73</v>
      </c>
      <c r="L9" s="13">
        <v>640</v>
      </c>
      <c r="M9" s="13">
        <v>29660</v>
      </c>
      <c r="N9" s="13" t="s">
        <v>38</v>
      </c>
      <c r="O9" s="640">
        <v>29992.708839999999</v>
      </c>
      <c r="P9" s="635">
        <f>O9/D9*100</f>
        <v>30.7</v>
      </c>
      <c r="Q9" s="634">
        <f>D9/(L9+L10)</f>
        <v>76.325093749999994</v>
      </c>
    </row>
    <row r="10" spans="1:17" ht="25.5" customHeight="1" x14ac:dyDescent="0.25">
      <c r="A10" s="12">
        <v>44481</v>
      </c>
      <c r="B10" s="13">
        <v>2816533</v>
      </c>
      <c r="C10" s="13" t="s">
        <v>9</v>
      </c>
      <c r="D10" s="127">
        <v>0</v>
      </c>
      <c r="E10" s="13"/>
      <c r="F10" s="13" t="s">
        <v>77</v>
      </c>
      <c r="G10" s="13" t="s">
        <v>46</v>
      </c>
      <c r="H10" s="13" t="s">
        <v>70</v>
      </c>
      <c r="I10" s="13" t="s">
        <v>71</v>
      </c>
      <c r="J10" s="13" t="s">
        <v>72</v>
      </c>
      <c r="K10" s="13" t="s">
        <v>73</v>
      </c>
      <c r="L10" s="13">
        <v>640</v>
      </c>
      <c r="M10" s="13">
        <v>0</v>
      </c>
      <c r="N10" s="13" t="s">
        <v>10</v>
      </c>
      <c r="O10" s="642"/>
      <c r="P10" s="635"/>
      <c r="Q10" s="634"/>
    </row>
    <row r="11" spans="1:17" ht="25.5" customHeight="1" x14ac:dyDescent="0.25">
      <c r="A11" s="14">
        <v>44482</v>
      </c>
      <c r="B11" s="15">
        <v>3033153</v>
      </c>
      <c r="C11" s="15" t="s">
        <v>50</v>
      </c>
      <c r="D11" s="129">
        <v>83085.570000000007</v>
      </c>
      <c r="E11" s="15" t="s">
        <v>68</v>
      </c>
      <c r="F11" s="15" t="s">
        <v>46</v>
      </c>
      <c r="G11" s="15" t="s">
        <v>78</v>
      </c>
      <c r="H11" s="15" t="s">
        <v>70</v>
      </c>
      <c r="I11" s="15" t="s">
        <v>71</v>
      </c>
      <c r="J11" s="15" t="s">
        <v>72</v>
      </c>
      <c r="K11" s="15" t="s">
        <v>73</v>
      </c>
      <c r="L11" s="15">
        <v>508</v>
      </c>
      <c r="M11" s="15">
        <v>26620</v>
      </c>
      <c r="N11" s="15" t="s">
        <v>38</v>
      </c>
      <c r="O11" s="647">
        <v>25507.269990000001</v>
      </c>
      <c r="P11" s="633">
        <f>O11/D11*100</f>
        <v>30.7</v>
      </c>
      <c r="Q11" s="632">
        <f>D11/(L11+L12)</f>
        <v>81.777135826771655</v>
      </c>
    </row>
    <row r="12" spans="1:17" ht="25.5" customHeight="1" x14ac:dyDescent="0.25">
      <c r="A12" s="14">
        <v>44483</v>
      </c>
      <c r="B12" s="15">
        <v>2816515</v>
      </c>
      <c r="C12" s="15" t="s">
        <v>9</v>
      </c>
      <c r="D12" s="129">
        <v>0</v>
      </c>
      <c r="E12" s="15"/>
      <c r="F12" s="15" t="s">
        <v>78</v>
      </c>
      <c r="G12" s="15" t="s">
        <v>46</v>
      </c>
      <c r="H12" s="15" t="s">
        <v>70</v>
      </c>
      <c r="I12" s="15" t="s">
        <v>71</v>
      </c>
      <c r="J12" s="15" t="s">
        <v>72</v>
      </c>
      <c r="K12" s="15" t="s">
        <v>73</v>
      </c>
      <c r="L12" s="15">
        <v>508</v>
      </c>
      <c r="M12" s="15">
        <v>0</v>
      </c>
      <c r="N12" s="15" t="s">
        <v>10</v>
      </c>
      <c r="O12" s="648"/>
      <c r="P12" s="633"/>
      <c r="Q12" s="632"/>
    </row>
    <row r="13" spans="1:17" ht="25.5" customHeight="1" x14ac:dyDescent="0.25">
      <c r="A13" s="10">
        <v>44486</v>
      </c>
      <c r="B13" s="11">
        <v>3034636</v>
      </c>
      <c r="C13" s="11" t="s">
        <v>50</v>
      </c>
      <c r="D13" s="125">
        <v>101979.57</v>
      </c>
      <c r="E13" s="11" t="s">
        <v>68</v>
      </c>
      <c r="F13" s="11" t="s">
        <v>46</v>
      </c>
      <c r="G13" s="11" t="s">
        <v>79</v>
      </c>
      <c r="H13" s="11" t="s">
        <v>70</v>
      </c>
      <c r="I13" s="11" t="s">
        <v>71</v>
      </c>
      <c r="J13" s="11" t="s">
        <v>72</v>
      </c>
      <c r="K13" s="11" t="s">
        <v>73</v>
      </c>
      <c r="L13" s="11">
        <v>672</v>
      </c>
      <c r="M13" s="11">
        <v>27360</v>
      </c>
      <c r="N13" s="11" t="s">
        <v>38</v>
      </c>
      <c r="O13" s="637">
        <v>31307.727989999999</v>
      </c>
      <c r="P13" s="631">
        <f>O13/D13*100</f>
        <v>30.7</v>
      </c>
      <c r="Q13" s="630">
        <f>D13/(L13+L14)</f>
        <v>75.877656250000001</v>
      </c>
    </row>
    <row r="14" spans="1:17" ht="25.5" customHeight="1" x14ac:dyDescent="0.25">
      <c r="A14" s="10">
        <v>44487</v>
      </c>
      <c r="B14" s="11">
        <v>2816534</v>
      </c>
      <c r="C14" s="11" t="s">
        <v>9</v>
      </c>
      <c r="D14" s="125">
        <v>0</v>
      </c>
      <c r="E14" s="11"/>
      <c r="F14" s="11" t="s">
        <v>79</v>
      </c>
      <c r="G14" s="11" t="s">
        <v>46</v>
      </c>
      <c r="H14" s="11" t="s">
        <v>70</v>
      </c>
      <c r="I14" s="11" t="s">
        <v>71</v>
      </c>
      <c r="J14" s="11" t="s">
        <v>72</v>
      </c>
      <c r="K14" s="11" t="s">
        <v>73</v>
      </c>
      <c r="L14" s="11">
        <v>672</v>
      </c>
      <c r="M14" s="11">
        <v>0</v>
      </c>
      <c r="N14" s="11" t="s">
        <v>10</v>
      </c>
      <c r="O14" s="638"/>
      <c r="P14" s="631"/>
      <c r="Q14" s="630"/>
    </row>
    <row r="15" spans="1:17" ht="25.5" customHeight="1" x14ac:dyDescent="0.25">
      <c r="A15" s="16">
        <v>44489</v>
      </c>
      <c r="B15" s="17">
        <v>3036105</v>
      </c>
      <c r="C15" s="17" t="s">
        <v>50</v>
      </c>
      <c r="D15" s="128">
        <v>105159.54</v>
      </c>
      <c r="E15" s="17" t="s">
        <v>68</v>
      </c>
      <c r="F15" s="17" t="s">
        <v>46</v>
      </c>
      <c r="G15" s="17" t="s">
        <v>45</v>
      </c>
      <c r="H15" s="17" t="s">
        <v>70</v>
      </c>
      <c r="I15" s="17" t="s">
        <v>71</v>
      </c>
      <c r="J15" s="17" t="s">
        <v>72</v>
      </c>
      <c r="K15" s="17" t="s">
        <v>80</v>
      </c>
      <c r="L15" s="17">
        <v>648</v>
      </c>
      <c r="M15" s="17">
        <v>29520</v>
      </c>
      <c r="N15" s="17" t="s">
        <v>38</v>
      </c>
      <c r="O15" s="644">
        <v>32283.978780000001</v>
      </c>
      <c r="P15" s="629">
        <f>O15/D15*100</f>
        <v>30.700000000000006</v>
      </c>
      <c r="Q15" s="628">
        <f>D15/(L15+L16)</f>
        <v>81.141620370370362</v>
      </c>
    </row>
    <row r="16" spans="1:17" ht="25.5" customHeight="1" x14ac:dyDescent="0.25">
      <c r="A16" s="16">
        <v>44491</v>
      </c>
      <c r="B16" s="17">
        <v>2816568</v>
      </c>
      <c r="C16" s="17" t="s">
        <v>9</v>
      </c>
      <c r="D16" s="128">
        <v>0</v>
      </c>
      <c r="E16" s="17"/>
      <c r="F16" s="17" t="s">
        <v>45</v>
      </c>
      <c r="G16" s="17" t="s">
        <v>46</v>
      </c>
      <c r="H16" s="17" t="s">
        <v>70</v>
      </c>
      <c r="I16" s="17" t="s">
        <v>71</v>
      </c>
      <c r="J16" s="17" t="s">
        <v>72</v>
      </c>
      <c r="K16" s="17" t="s">
        <v>80</v>
      </c>
      <c r="L16" s="17">
        <v>648</v>
      </c>
      <c r="M16" s="17">
        <v>0</v>
      </c>
      <c r="N16" s="17" t="s">
        <v>10</v>
      </c>
      <c r="O16" s="645"/>
      <c r="P16" s="629"/>
      <c r="Q16" s="628"/>
    </row>
    <row r="17" spans="1:17" ht="25.5" customHeight="1" x14ac:dyDescent="0.25">
      <c r="A17" s="12">
        <v>44492</v>
      </c>
      <c r="B17" s="13">
        <v>3038383</v>
      </c>
      <c r="C17" s="13" t="s">
        <v>50</v>
      </c>
      <c r="D17" s="127">
        <v>128353.60000000001</v>
      </c>
      <c r="E17" s="13" t="s">
        <v>68</v>
      </c>
      <c r="F17" s="13" t="s">
        <v>46</v>
      </c>
      <c r="G17" s="13" t="s">
        <v>42</v>
      </c>
      <c r="H17" s="13" t="s">
        <v>70</v>
      </c>
      <c r="I17" s="13" t="s">
        <v>71</v>
      </c>
      <c r="J17" s="13" t="s">
        <v>72</v>
      </c>
      <c r="K17" s="13" t="s">
        <v>73</v>
      </c>
      <c r="L17" s="13">
        <v>802</v>
      </c>
      <c r="M17" s="13">
        <v>29520</v>
      </c>
      <c r="N17" s="13" t="s">
        <v>38</v>
      </c>
      <c r="O17" s="640">
        <v>39404.555200000003</v>
      </c>
      <c r="P17" s="635">
        <f>O17/D17*100</f>
        <v>30.7</v>
      </c>
      <c r="Q17" s="634">
        <f>D17/(L17+L18)</f>
        <v>80.020947630922691</v>
      </c>
    </row>
    <row r="18" spans="1:17" ht="25.5" customHeight="1" x14ac:dyDescent="0.25">
      <c r="A18" s="12">
        <v>44494</v>
      </c>
      <c r="B18" s="13">
        <v>2816602</v>
      </c>
      <c r="C18" s="13" t="s">
        <v>9</v>
      </c>
      <c r="D18" s="127">
        <v>0</v>
      </c>
      <c r="E18" s="13"/>
      <c r="F18" s="13" t="s">
        <v>42</v>
      </c>
      <c r="G18" s="13" t="s">
        <v>46</v>
      </c>
      <c r="H18" s="13" t="s">
        <v>70</v>
      </c>
      <c r="I18" s="13" t="s">
        <v>71</v>
      </c>
      <c r="J18" s="13" t="s">
        <v>72</v>
      </c>
      <c r="K18" s="13" t="s">
        <v>80</v>
      </c>
      <c r="L18" s="13">
        <v>802</v>
      </c>
      <c r="M18" s="13">
        <v>0</v>
      </c>
      <c r="N18" s="13" t="s">
        <v>10</v>
      </c>
      <c r="O18" s="642"/>
      <c r="P18" s="635"/>
      <c r="Q18" s="634"/>
    </row>
    <row r="19" spans="1:17" ht="25.5" customHeight="1" x14ac:dyDescent="0.25">
      <c r="A19" s="14">
        <v>44495</v>
      </c>
      <c r="B19" s="15">
        <v>3039873</v>
      </c>
      <c r="C19" s="15" t="s">
        <v>50</v>
      </c>
      <c r="D19" s="129">
        <v>103545.07</v>
      </c>
      <c r="E19" s="15" t="s">
        <v>68</v>
      </c>
      <c r="F19" s="15" t="s">
        <v>46</v>
      </c>
      <c r="G19" s="15" t="s">
        <v>79</v>
      </c>
      <c r="H19" s="15" t="s">
        <v>70</v>
      </c>
      <c r="I19" s="15" t="s">
        <v>71</v>
      </c>
      <c r="J19" s="15" t="s">
        <v>72</v>
      </c>
      <c r="K19" s="15" t="s">
        <v>80</v>
      </c>
      <c r="L19" s="15">
        <v>672</v>
      </c>
      <c r="M19" s="15">
        <v>29480</v>
      </c>
      <c r="N19" s="15" t="s">
        <v>38</v>
      </c>
      <c r="O19" s="647">
        <v>31788.336490000002</v>
      </c>
      <c r="P19" s="633">
        <f>O19/D19*100</f>
        <v>30.7</v>
      </c>
      <c r="Q19" s="632">
        <f>D19/(L19+L20)</f>
        <v>77.042462797619052</v>
      </c>
    </row>
    <row r="20" spans="1:17" ht="25.5" customHeight="1" x14ac:dyDescent="0.25">
      <c r="A20" s="14">
        <v>44497</v>
      </c>
      <c r="B20" s="15">
        <v>2816642</v>
      </c>
      <c r="C20" s="15" t="s">
        <v>9</v>
      </c>
      <c r="D20" s="129">
        <v>0</v>
      </c>
      <c r="E20" s="15"/>
      <c r="F20" s="15" t="s">
        <v>79</v>
      </c>
      <c r="G20" s="15" t="s">
        <v>46</v>
      </c>
      <c r="H20" s="15" t="s">
        <v>70</v>
      </c>
      <c r="I20" s="15" t="s">
        <v>71</v>
      </c>
      <c r="J20" s="15" t="s">
        <v>72</v>
      </c>
      <c r="K20" s="15" t="s">
        <v>80</v>
      </c>
      <c r="L20" s="15">
        <v>672</v>
      </c>
      <c r="M20" s="15">
        <v>0</v>
      </c>
      <c r="N20" s="15" t="s">
        <v>10</v>
      </c>
      <c r="O20" s="648"/>
      <c r="P20" s="633"/>
      <c r="Q20" s="632"/>
    </row>
    <row r="21" spans="1:17" ht="25.5" customHeight="1" x14ac:dyDescent="0.25">
      <c r="A21" s="73">
        <v>44498</v>
      </c>
      <c r="B21" s="60">
        <v>3041386</v>
      </c>
      <c r="C21" s="60" t="s">
        <v>50</v>
      </c>
      <c r="D21" s="124">
        <v>21525.38</v>
      </c>
      <c r="E21" s="60" t="s">
        <v>68</v>
      </c>
      <c r="F21" s="60" t="s">
        <v>46</v>
      </c>
      <c r="G21" s="60" t="s">
        <v>81</v>
      </c>
      <c r="H21" s="60" t="s">
        <v>70</v>
      </c>
      <c r="I21" s="60" t="s">
        <v>71</v>
      </c>
      <c r="J21" s="60" t="s">
        <v>72</v>
      </c>
      <c r="K21" s="60" t="s">
        <v>80</v>
      </c>
      <c r="L21" s="60">
        <v>120</v>
      </c>
      <c r="M21" s="60">
        <v>29580</v>
      </c>
      <c r="N21" s="60" t="s">
        <v>38</v>
      </c>
      <c r="O21" s="637">
        <v>6608.2916599999999</v>
      </c>
      <c r="P21" s="631">
        <f>O21/D21*100</f>
        <v>30.7</v>
      </c>
      <c r="Q21" s="630">
        <f>D21/(L21+L22)</f>
        <v>89.689083333333343</v>
      </c>
    </row>
    <row r="22" spans="1:17" ht="25.5" customHeight="1" x14ac:dyDescent="0.25">
      <c r="A22" s="73">
        <v>44498</v>
      </c>
      <c r="B22" s="60">
        <v>2816641</v>
      </c>
      <c r="C22" s="60" t="s">
        <v>9</v>
      </c>
      <c r="D22" s="124">
        <v>0</v>
      </c>
      <c r="E22" s="60"/>
      <c r="F22" s="60" t="s">
        <v>81</v>
      </c>
      <c r="G22" s="60" t="s">
        <v>46</v>
      </c>
      <c r="H22" s="60" t="s">
        <v>70</v>
      </c>
      <c r="I22" s="60" t="s">
        <v>71</v>
      </c>
      <c r="J22" s="60" t="s">
        <v>72</v>
      </c>
      <c r="K22" s="60" t="s">
        <v>80</v>
      </c>
      <c r="L22" s="60">
        <v>120</v>
      </c>
      <c r="M22" s="60">
        <v>0</v>
      </c>
      <c r="N22" s="60" t="s">
        <v>10</v>
      </c>
      <c r="O22" s="638"/>
      <c r="P22" s="631"/>
      <c r="Q22" s="630"/>
    </row>
    <row r="23" spans="1:17" ht="25.5" customHeight="1" x14ac:dyDescent="0.25">
      <c r="A23" s="3">
        <v>44498</v>
      </c>
      <c r="B23" s="4">
        <v>3042008</v>
      </c>
      <c r="C23" s="4" t="s">
        <v>50</v>
      </c>
      <c r="D23" s="5">
        <v>127915.87</v>
      </c>
      <c r="E23" s="4" t="s">
        <v>68</v>
      </c>
      <c r="F23" s="4" t="s">
        <v>46</v>
      </c>
      <c r="G23" s="4" t="s">
        <v>42</v>
      </c>
      <c r="H23" s="4" t="s">
        <v>70</v>
      </c>
      <c r="I23" s="4" t="s">
        <v>71</v>
      </c>
      <c r="J23" s="4" t="s">
        <v>72</v>
      </c>
      <c r="K23" s="4" t="s">
        <v>80</v>
      </c>
      <c r="L23" s="4">
        <v>802</v>
      </c>
      <c r="M23" s="4">
        <v>29220</v>
      </c>
      <c r="N23" s="4" t="s">
        <v>38</v>
      </c>
      <c r="O23" s="5">
        <v>39270.17209</v>
      </c>
      <c r="P23" s="64">
        <f>O23/D23*100</f>
        <v>30.7</v>
      </c>
      <c r="Q23" s="24">
        <f>D23/L23</f>
        <v>159.49609725685784</v>
      </c>
    </row>
    <row r="24" spans="1:17" x14ac:dyDescent="0.25">
      <c r="A24" s="9"/>
      <c r="B24" s="9"/>
      <c r="C24" s="9"/>
      <c r="D24" s="18">
        <f>SUM(D4:D23)</f>
        <v>1080175.26</v>
      </c>
      <c r="E24" s="9"/>
      <c r="F24" s="9"/>
      <c r="G24" s="9"/>
      <c r="H24" s="9"/>
      <c r="I24" s="9"/>
      <c r="J24" s="9"/>
      <c r="K24" s="9"/>
      <c r="L24" s="9">
        <f>SUM(L4:L23)</f>
        <v>11683</v>
      </c>
      <c r="M24" s="9"/>
      <c r="N24" s="9"/>
      <c r="O24" s="24">
        <f>SUM(O4:O23)</f>
        <v>331613.80903</v>
      </c>
      <c r="P24" s="64">
        <f>O24/D24*100</f>
        <v>30.700000389751569</v>
      </c>
      <c r="Q24" s="26">
        <f>D24/L24</f>
        <v>92.457011041684495</v>
      </c>
    </row>
    <row r="26" spans="1:17" x14ac:dyDescent="0.25">
      <c r="A26" s="99" t="s">
        <v>322</v>
      </c>
      <c r="B26" s="100" t="s">
        <v>328</v>
      </c>
      <c r="C26" s="101"/>
      <c r="D26" s="102"/>
    </row>
    <row r="27" spans="1:17" x14ac:dyDescent="0.25">
      <c r="A27" s="103">
        <f>D24/L24</f>
        <v>92.457011041684495</v>
      </c>
      <c r="B27" s="9"/>
      <c r="C27" s="104"/>
      <c r="D27" s="105"/>
    </row>
    <row r="28" spans="1:17" x14ac:dyDescent="0.25">
      <c r="D28" s="25"/>
    </row>
    <row r="29" spans="1:17" x14ac:dyDescent="0.25">
      <c r="A29" s="36"/>
      <c r="B29" s="36" t="s">
        <v>329</v>
      </c>
      <c r="C29" s="36" t="s">
        <v>330</v>
      </c>
      <c r="D29" s="106" t="s">
        <v>73</v>
      </c>
    </row>
    <row r="30" spans="1:17" x14ac:dyDescent="0.25">
      <c r="A30" s="7" t="s">
        <v>331</v>
      </c>
      <c r="B30" s="42">
        <f>D24</f>
        <v>1080175.26</v>
      </c>
      <c r="C30" s="45">
        <f>B31</f>
        <v>331613.80903</v>
      </c>
      <c r="D30" s="46">
        <f>C30/B30</f>
        <v>0.30700000389751569</v>
      </c>
    </row>
    <row r="31" spans="1:17" x14ac:dyDescent="0.25">
      <c r="A31" s="47" t="s">
        <v>27</v>
      </c>
      <c r="B31" s="24">
        <f>O24</f>
        <v>331613.80903</v>
      </c>
      <c r="C31" s="9"/>
      <c r="D31" s="25"/>
    </row>
    <row r="32" spans="1:17" x14ac:dyDescent="0.25">
      <c r="A32" s="48" t="s">
        <v>332</v>
      </c>
      <c r="B32" s="107"/>
      <c r="C32" s="49">
        <f>(12*(78578.313+12454.55))/(150000+80000)*L24</f>
        <v>55488.883744121733</v>
      </c>
      <c r="D32" s="25"/>
    </row>
    <row r="33" spans="1:4" x14ac:dyDescent="0.25">
      <c r="A33" s="48" t="s">
        <v>335</v>
      </c>
      <c r="B33" s="107"/>
      <c r="C33" s="42"/>
      <c r="D33" s="25"/>
    </row>
    <row r="34" spans="1:4" x14ac:dyDescent="0.25">
      <c r="A34" s="48" t="s">
        <v>336</v>
      </c>
      <c r="B34" s="107"/>
      <c r="C34" s="42">
        <f>'PATENTE MUNICIPAL'!I38</f>
        <v>20.833333333333332</v>
      </c>
      <c r="D34" s="25"/>
    </row>
    <row r="35" spans="1:4" x14ac:dyDescent="0.25">
      <c r="A35" s="48" t="s">
        <v>337</v>
      </c>
      <c r="B35" s="107"/>
      <c r="C35" s="42">
        <f>SEGURO!K42</f>
        <v>262.87788678051868</v>
      </c>
      <c r="D35" s="25"/>
    </row>
    <row r="36" spans="1:4" x14ac:dyDescent="0.25">
      <c r="A36" s="48" t="s">
        <v>339</v>
      </c>
      <c r="B36" s="107"/>
      <c r="C36" s="42">
        <f>'GASTOS SEMI'!H104</f>
        <v>47456.800000000003</v>
      </c>
      <c r="D36" s="25"/>
    </row>
    <row r="37" spans="1:4" x14ac:dyDescent="0.25">
      <c r="A37" s="48" t="s">
        <v>340</v>
      </c>
      <c r="B37" s="107"/>
      <c r="C37" s="51">
        <f>SUM(C32:C36)</f>
        <v>103229.39496423559</v>
      </c>
      <c r="D37" s="25"/>
    </row>
    <row r="38" spans="1:4" x14ac:dyDescent="0.25">
      <c r="A38" s="36" t="s">
        <v>341</v>
      </c>
      <c r="B38" s="107"/>
      <c r="C38" s="53">
        <f>C30-C31-C37</f>
        <v>228384.4140657644</v>
      </c>
      <c r="D38" s="106">
        <f>+B38+C38</f>
        <v>228384.4140657644</v>
      </c>
    </row>
  </sheetData>
  <sortState xmlns:xlrd2="http://schemas.microsoft.com/office/spreadsheetml/2017/richdata2" ref="A2:P22">
    <sortCondition ref="A1"/>
  </sortState>
  <mergeCells count="28">
    <mergeCell ref="A1:Q2"/>
    <mergeCell ref="Q4:Q6"/>
    <mergeCell ref="P4:P6"/>
    <mergeCell ref="O4:O6"/>
    <mergeCell ref="O19:O20"/>
    <mergeCell ref="O15:O16"/>
    <mergeCell ref="Q7:Q8"/>
    <mergeCell ref="P7:P8"/>
    <mergeCell ref="O7:O8"/>
    <mergeCell ref="O17:O18"/>
    <mergeCell ref="Q15:Q16"/>
    <mergeCell ref="P15:P16"/>
    <mergeCell ref="Q21:Q22"/>
    <mergeCell ref="P21:P22"/>
    <mergeCell ref="O21:O22"/>
    <mergeCell ref="Q9:Q10"/>
    <mergeCell ref="P9:P10"/>
    <mergeCell ref="O9:O10"/>
    <mergeCell ref="Q13:Q14"/>
    <mergeCell ref="P13:P14"/>
    <mergeCell ref="O13:O14"/>
    <mergeCell ref="Q11:Q12"/>
    <mergeCell ref="P11:P12"/>
    <mergeCell ref="O11:O12"/>
    <mergeCell ref="Q19:Q20"/>
    <mergeCell ref="P19:P20"/>
    <mergeCell ref="Q17:Q18"/>
    <mergeCell ref="P17:P1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B050"/>
  </sheetPr>
  <dimension ref="A1:Q39"/>
  <sheetViews>
    <sheetView topLeftCell="A24" zoomScaleNormal="100" workbookViewId="0">
      <selection activeCell="A36" sqref="A36"/>
    </sheetView>
  </sheetViews>
  <sheetFormatPr baseColWidth="10" defaultRowHeight="15" x14ac:dyDescent="0.25"/>
  <cols>
    <col min="1" max="1" width="14.42578125" style="2" bestFit="1" customWidth="1"/>
    <col min="2" max="2" width="14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44.28515625" style="2" bestFit="1" customWidth="1"/>
    <col min="8" max="8" width="34.28515625" style="2" bestFit="1" customWidth="1"/>
    <col min="9" max="9" width="19.140625" style="2" bestFit="1" customWidth="1"/>
    <col min="10" max="10" width="7.5703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7" t="s">
        <v>369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2010608697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35</v>
      </c>
      <c r="H4" s="11" t="s">
        <v>262</v>
      </c>
      <c r="I4" s="11" t="s">
        <v>263</v>
      </c>
      <c r="J4" s="11" t="s">
        <v>264</v>
      </c>
      <c r="K4" s="11" t="s">
        <v>265</v>
      </c>
      <c r="L4" s="11">
        <v>740</v>
      </c>
      <c r="M4" s="11">
        <v>29250</v>
      </c>
      <c r="N4" s="60" t="s">
        <v>8</v>
      </c>
      <c r="O4" s="630">
        <v>38408.373970000001</v>
      </c>
      <c r="P4" s="636">
        <f>O4/D4*100</f>
        <v>30.7</v>
      </c>
      <c r="Q4" s="630">
        <f>D4/(L4+L5)</f>
        <v>84.532912162162162</v>
      </c>
    </row>
    <row r="5" spans="1:17" ht="25.5" customHeight="1" x14ac:dyDescent="0.25">
      <c r="A5" s="10">
        <v>44471</v>
      </c>
      <c r="B5" s="11">
        <v>2816845</v>
      </c>
      <c r="C5" s="11" t="s">
        <v>9</v>
      </c>
      <c r="D5" s="125">
        <v>0</v>
      </c>
      <c r="E5" s="11"/>
      <c r="F5" s="11" t="s">
        <v>35</v>
      </c>
      <c r="G5" s="11" t="s">
        <v>2</v>
      </c>
      <c r="H5" s="11" t="s">
        <v>262</v>
      </c>
      <c r="I5" s="11" t="s">
        <v>263</v>
      </c>
      <c r="J5" s="11" t="s">
        <v>264</v>
      </c>
      <c r="K5" s="11" t="s">
        <v>265</v>
      </c>
      <c r="L5" s="11">
        <v>740</v>
      </c>
      <c r="M5" s="11">
        <v>0</v>
      </c>
      <c r="N5" s="60" t="s">
        <v>10</v>
      </c>
      <c r="O5" s="630"/>
      <c r="P5" s="636"/>
      <c r="Q5" s="630"/>
    </row>
    <row r="6" spans="1:17" ht="25.5" customHeight="1" x14ac:dyDescent="0.25">
      <c r="A6" s="16">
        <v>44473</v>
      </c>
      <c r="B6" s="17">
        <v>2010642075</v>
      </c>
      <c r="C6" s="17" t="s">
        <v>0</v>
      </c>
      <c r="D6" s="128">
        <v>125108.71</v>
      </c>
      <c r="E6" s="17" t="s">
        <v>56</v>
      </c>
      <c r="F6" s="17" t="s">
        <v>2</v>
      </c>
      <c r="G6" s="17" t="s">
        <v>3</v>
      </c>
      <c r="H6" s="17" t="s">
        <v>262</v>
      </c>
      <c r="I6" s="17" t="s">
        <v>263</v>
      </c>
      <c r="J6" s="17" t="s">
        <v>264</v>
      </c>
      <c r="K6" s="17" t="s">
        <v>265</v>
      </c>
      <c r="L6" s="17">
        <v>740</v>
      </c>
      <c r="M6" s="17">
        <v>29410</v>
      </c>
      <c r="N6" s="61" t="s">
        <v>8</v>
      </c>
      <c r="O6" s="628">
        <v>38408.373970000001</v>
      </c>
      <c r="P6" s="643">
        <f>O6/D6*100</f>
        <v>30.7</v>
      </c>
      <c r="Q6" s="628">
        <f>D6/(L6+L7)</f>
        <v>84.532912162162162</v>
      </c>
    </row>
    <row r="7" spans="1:17" ht="25.5" customHeight="1" x14ac:dyDescent="0.25">
      <c r="A7" s="16">
        <v>44475</v>
      </c>
      <c r="B7" s="17">
        <v>2816829</v>
      </c>
      <c r="C7" s="17" t="s">
        <v>9</v>
      </c>
      <c r="D7" s="128">
        <v>0</v>
      </c>
      <c r="E7" s="17"/>
      <c r="F7" s="17" t="s">
        <v>3</v>
      </c>
      <c r="G7" s="17" t="s">
        <v>2</v>
      </c>
      <c r="H7" s="17" t="s">
        <v>262</v>
      </c>
      <c r="I7" s="17" t="s">
        <v>263</v>
      </c>
      <c r="J7" s="17" t="s">
        <v>264</v>
      </c>
      <c r="K7" s="17" t="s">
        <v>265</v>
      </c>
      <c r="L7" s="17">
        <v>740</v>
      </c>
      <c r="M7" s="17">
        <v>0</v>
      </c>
      <c r="N7" s="61" t="s">
        <v>10</v>
      </c>
      <c r="O7" s="628"/>
      <c r="P7" s="643"/>
      <c r="Q7" s="628"/>
    </row>
    <row r="8" spans="1:17" ht="25.5" customHeight="1" x14ac:dyDescent="0.25">
      <c r="A8" s="12">
        <v>44476</v>
      </c>
      <c r="B8" s="13">
        <v>2010642110</v>
      </c>
      <c r="C8" s="13" t="s">
        <v>0</v>
      </c>
      <c r="D8" s="127">
        <v>125108.71</v>
      </c>
      <c r="E8" s="13" t="s">
        <v>34</v>
      </c>
      <c r="F8" s="13" t="s">
        <v>2</v>
      </c>
      <c r="G8" s="13" t="s">
        <v>3</v>
      </c>
      <c r="H8" s="13" t="s">
        <v>262</v>
      </c>
      <c r="I8" s="13" t="s">
        <v>263</v>
      </c>
      <c r="J8" s="13" t="s">
        <v>264</v>
      </c>
      <c r="K8" s="13" t="s">
        <v>265</v>
      </c>
      <c r="L8" s="13">
        <v>740</v>
      </c>
      <c r="M8" s="13">
        <v>29210</v>
      </c>
      <c r="N8" s="62" t="s">
        <v>8</v>
      </c>
      <c r="O8" s="634">
        <v>38408.373970000001</v>
      </c>
      <c r="P8" s="639">
        <f>O8/D8*100</f>
        <v>30.7</v>
      </c>
      <c r="Q8" s="634">
        <f>D8/(L8+L9)</f>
        <v>84.532912162162162</v>
      </c>
    </row>
    <row r="9" spans="1:17" ht="25.5" customHeight="1" x14ac:dyDescent="0.25">
      <c r="A9" s="12">
        <v>44477</v>
      </c>
      <c r="B9" s="13">
        <v>2816812</v>
      </c>
      <c r="C9" s="13" t="s">
        <v>9</v>
      </c>
      <c r="D9" s="127">
        <v>0</v>
      </c>
      <c r="E9" s="13"/>
      <c r="F9" s="13" t="s">
        <v>3</v>
      </c>
      <c r="G9" s="13" t="s">
        <v>2</v>
      </c>
      <c r="H9" s="13" t="s">
        <v>262</v>
      </c>
      <c r="I9" s="13" t="s">
        <v>263</v>
      </c>
      <c r="J9" s="13" t="s">
        <v>264</v>
      </c>
      <c r="K9" s="13" t="s">
        <v>265</v>
      </c>
      <c r="L9" s="13">
        <v>740</v>
      </c>
      <c r="M9" s="13">
        <v>0</v>
      </c>
      <c r="N9" s="62" t="s">
        <v>10</v>
      </c>
      <c r="O9" s="634"/>
      <c r="P9" s="639"/>
      <c r="Q9" s="634"/>
    </row>
    <row r="10" spans="1:17" ht="25.5" customHeight="1" x14ac:dyDescent="0.25">
      <c r="A10" s="14">
        <v>44479</v>
      </c>
      <c r="B10" s="15">
        <v>2010656866</v>
      </c>
      <c r="C10" s="15" t="s">
        <v>0</v>
      </c>
      <c r="D10" s="129">
        <v>125108.71</v>
      </c>
      <c r="E10" s="15" t="s">
        <v>36</v>
      </c>
      <c r="F10" s="15" t="s">
        <v>2</v>
      </c>
      <c r="G10" s="15" t="s">
        <v>43</v>
      </c>
      <c r="H10" s="15" t="s">
        <v>262</v>
      </c>
      <c r="I10" s="15" t="s">
        <v>263</v>
      </c>
      <c r="J10" s="15" t="s">
        <v>264</v>
      </c>
      <c r="K10" s="15" t="s">
        <v>265</v>
      </c>
      <c r="L10" s="15">
        <v>740</v>
      </c>
      <c r="M10" s="15">
        <v>28790</v>
      </c>
      <c r="N10" s="63" t="s">
        <v>8</v>
      </c>
      <c r="O10" s="632">
        <v>38408.373970000001</v>
      </c>
      <c r="P10" s="646">
        <f>O10/D10*100</f>
        <v>30.7</v>
      </c>
      <c r="Q10" s="632">
        <f>D10/(L10+L11)</f>
        <v>84.532912162162162</v>
      </c>
    </row>
    <row r="11" spans="1:17" ht="25.5" customHeight="1" x14ac:dyDescent="0.25">
      <c r="A11" s="14">
        <v>44481</v>
      </c>
      <c r="B11" s="15">
        <v>2816805</v>
      </c>
      <c r="C11" s="15" t="s">
        <v>9</v>
      </c>
      <c r="D11" s="129">
        <v>0</v>
      </c>
      <c r="E11" s="15"/>
      <c r="F11" s="15" t="s">
        <v>43</v>
      </c>
      <c r="G11" s="15" t="s">
        <v>2</v>
      </c>
      <c r="H11" s="15" t="s">
        <v>262</v>
      </c>
      <c r="I11" s="15" t="s">
        <v>263</v>
      </c>
      <c r="J11" s="15" t="s">
        <v>264</v>
      </c>
      <c r="K11" s="15" t="s">
        <v>265</v>
      </c>
      <c r="L11" s="15">
        <v>740</v>
      </c>
      <c r="M11" s="15">
        <v>0</v>
      </c>
      <c r="N11" s="63" t="s">
        <v>10</v>
      </c>
      <c r="O11" s="632"/>
      <c r="P11" s="646"/>
      <c r="Q11" s="632"/>
    </row>
    <row r="12" spans="1:17" ht="25.5" customHeight="1" x14ac:dyDescent="0.25">
      <c r="A12" s="10">
        <v>44482</v>
      </c>
      <c r="B12" s="11">
        <v>2010656389</v>
      </c>
      <c r="C12" s="11" t="s">
        <v>0</v>
      </c>
      <c r="D12" s="125">
        <v>11092.59</v>
      </c>
      <c r="E12" s="11" t="s">
        <v>39</v>
      </c>
      <c r="F12" s="11" t="s">
        <v>2</v>
      </c>
      <c r="G12" s="11" t="s">
        <v>266</v>
      </c>
      <c r="H12" s="11" t="s">
        <v>262</v>
      </c>
      <c r="I12" s="11" t="s">
        <v>263</v>
      </c>
      <c r="J12" s="11" t="s">
        <v>264</v>
      </c>
      <c r="K12" s="11" t="s">
        <v>265</v>
      </c>
      <c r="L12" s="11">
        <v>20</v>
      </c>
      <c r="M12" s="11">
        <v>29300</v>
      </c>
      <c r="N12" s="60" t="s">
        <v>38</v>
      </c>
      <c r="O12" s="630">
        <v>3405.4251300000001</v>
      </c>
      <c r="P12" s="636">
        <f>O12/D12*100</f>
        <v>30.7</v>
      </c>
      <c r="Q12" s="630">
        <f>D12/(L12+L13)</f>
        <v>554.62950000000001</v>
      </c>
    </row>
    <row r="13" spans="1:17" ht="25.5" customHeight="1" x14ac:dyDescent="0.25">
      <c r="A13" s="10">
        <v>44482</v>
      </c>
      <c r="B13" s="11">
        <v>2816800</v>
      </c>
      <c r="C13" s="11" t="s">
        <v>9</v>
      </c>
      <c r="D13" s="125">
        <v>0</v>
      </c>
      <c r="E13" s="11"/>
      <c r="F13" s="11" t="s">
        <v>266</v>
      </c>
      <c r="G13" s="11" t="s">
        <v>2</v>
      </c>
      <c r="H13" s="11" t="s">
        <v>262</v>
      </c>
      <c r="I13" s="11" t="s">
        <v>263</v>
      </c>
      <c r="J13" s="11" t="s">
        <v>264</v>
      </c>
      <c r="K13" s="11" t="s">
        <v>265</v>
      </c>
      <c r="L13" s="11">
        <v>0</v>
      </c>
      <c r="M13" s="11">
        <v>0</v>
      </c>
      <c r="N13" s="60" t="s">
        <v>10</v>
      </c>
      <c r="O13" s="630"/>
      <c r="P13" s="636"/>
      <c r="Q13" s="630"/>
    </row>
    <row r="14" spans="1:17" ht="25.5" customHeight="1" x14ac:dyDescent="0.25">
      <c r="A14" s="16">
        <v>44482</v>
      </c>
      <c r="B14" s="17">
        <v>2010656799</v>
      </c>
      <c r="C14" s="17" t="s">
        <v>0</v>
      </c>
      <c r="D14" s="128">
        <v>125108.71</v>
      </c>
      <c r="E14" s="17" t="s">
        <v>39</v>
      </c>
      <c r="F14" s="17" t="s">
        <v>2</v>
      </c>
      <c r="G14" s="17" t="s">
        <v>267</v>
      </c>
      <c r="H14" s="17" t="s">
        <v>262</v>
      </c>
      <c r="I14" s="17" t="s">
        <v>263</v>
      </c>
      <c r="J14" s="17" t="s">
        <v>264</v>
      </c>
      <c r="K14" s="17" t="s">
        <v>265</v>
      </c>
      <c r="L14" s="17">
        <v>740</v>
      </c>
      <c r="M14" s="17">
        <v>28320</v>
      </c>
      <c r="N14" s="61" t="s">
        <v>38</v>
      </c>
      <c r="O14" s="628">
        <v>38408.373970000001</v>
      </c>
      <c r="P14" s="643">
        <f>O14/D14*100</f>
        <v>30.7</v>
      </c>
      <c r="Q14" s="628">
        <f>D14/(L14+L15)</f>
        <v>84.532912162162162</v>
      </c>
    </row>
    <row r="15" spans="1:17" ht="25.5" customHeight="1" x14ac:dyDescent="0.25">
      <c r="A15" s="16">
        <v>44484</v>
      </c>
      <c r="B15" s="17"/>
      <c r="C15" s="17" t="s">
        <v>9</v>
      </c>
      <c r="D15" s="128">
        <v>0</v>
      </c>
      <c r="E15" s="17"/>
      <c r="F15" s="17" t="s">
        <v>267</v>
      </c>
      <c r="G15" s="17" t="s">
        <v>2</v>
      </c>
      <c r="H15" s="17" t="s">
        <v>262</v>
      </c>
      <c r="I15" s="17" t="s">
        <v>263</v>
      </c>
      <c r="J15" s="17" t="s">
        <v>264</v>
      </c>
      <c r="K15" s="17" t="s">
        <v>265</v>
      </c>
      <c r="L15" s="17">
        <v>740</v>
      </c>
      <c r="M15" s="17">
        <v>0</v>
      </c>
      <c r="N15" s="61" t="s">
        <v>10</v>
      </c>
      <c r="O15" s="628"/>
      <c r="P15" s="643"/>
      <c r="Q15" s="628"/>
    </row>
    <row r="16" spans="1:17" ht="25.5" customHeight="1" x14ac:dyDescent="0.25">
      <c r="A16" s="12">
        <v>44487</v>
      </c>
      <c r="B16" s="13">
        <v>2010694771</v>
      </c>
      <c r="C16" s="13" t="s">
        <v>0</v>
      </c>
      <c r="D16" s="127">
        <v>125108.71</v>
      </c>
      <c r="E16" s="13" t="s">
        <v>41</v>
      </c>
      <c r="F16" s="13" t="s">
        <v>2</v>
      </c>
      <c r="G16" s="13" t="s">
        <v>3</v>
      </c>
      <c r="H16" s="13" t="s">
        <v>262</v>
      </c>
      <c r="I16" s="13" t="s">
        <v>263</v>
      </c>
      <c r="J16" s="13" t="s">
        <v>264</v>
      </c>
      <c r="K16" s="13" t="s">
        <v>265</v>
      </c>
      <c r="L16" s="13">
        <v>740</v>
      </c>
      <c r="M16" s="13">
        <v>29420</v>
      </c>
      <c r="N16" s="62" t="s">
        <v>8</v>
      </c>
      <c r="O16" s="634">
        <v>38408.373970000001</v>
      </c>
      <c r="P16" s="639">
        <f>O16/D16*100</f>
        <v>30.7</v>
      </c>
      <c r="Q16" s="634">
        <f>D16/(L16+L17)</f>
        <v>84.532912162162162</v>
      </c>
    </row>
    <row r="17" spans="1:17" ht="25.5" customHeight="1" x14ac:dyDescent="0.25">
      <c r="A17" s="12">
        <v>44488</v>
      </c>
      <c r="B17" s="13">
        <v>2816762</v>
      </c>
      <c r="C17" s="13" t="s">
        <v>9</v>
      </c>
      <c r="D17" s="127">
        <v>0</v>
      </c>
      <c r="E17" s="13"/>
      <c r="F17" s="13" t="s">
        <v>3</v>
      </c>
      <c r="G17" s="13" t="s">
        <v>2</v>
      </c>
      <c r="H17" s="13" t="s">
        <v>262</v>
      </c>
      <c r="I17" s="13" t="s">
        <v>263</v>
      </c>
      <c r="J17" s="13" t="s">
        <v>264</v>
      </c>
      <c r="K17" s="13" t="s">
        <v>265</v>
      </c>
      <c r="L17" s="13">
        <v>740</v>
      </c>
      <c r="M17" s="13">
        <v>0</v>
      </c>
      <c r="N17" s="62" t="s">
        <v>10</v>
      </c>
      <c r="O17" s="634"/>
      <c r="P17" s="639"/>
      <c r="Q17" s="634"/>
    </row>
    <row r="18" spans="1:17" ht="25.5" customHeight="1" x14ac:dyDescent="0.25">
      <c r="A18" s="14">
        <v>44489</v>
      </c>
      <c r="B18" s="15">
        <v>2010662202</v>
      </c>
      <c r="C18" s="15" t="s">
        <v>0</v>
      </c>
      <c r="D18" s="129">
        <v>61135.06</v>
      </c>
      <c r="E18" s="15" t="s">
        <v>60</v>
      </c>
      <c r="F18" s="15" t="s">
        <v>2</v>
      </c>
      <c r="G18" s="15" t="s">
        <v>268</v>
      </c>
      <c r="H18" s="15" t="s">
        <v>262</v>
      </c>
      <c r="I18" s="15" t="s">
        <v>263</v>
      </c>
      <c r="J18" s="15" t="s">
        <v>264</v>
      </c>
      <c r="K18" s="15" t="s">
        <v>265</v>
      </c>
      <c r="L18" s="15">
        <v>343</v>
      </c>
      <c r="M18" s="15">
        <v>29200</v>
      </c>
      <c r="N18" s="63" t="s">
        <v>38</v>
      </c>
      <c r="O18" s="632">
        <v>18768.46342</v>
      </c>
      <c r="P18" s="646">
        <f>O18/D18*100</f>
        <v>30.7</v>
      </c>
      <c r="Q18" s="632">
        <f>D18/(L18+L19)</f>
        <v>89.118163265306123</v>
      </c>
    </row>
    <row r="19" spans="1:17" ht="25.5" customHeight="1" x14ac:dyDescent="0.25">
      <c r="A19" s="14">
        <v>44490</v>
      </c>
      <c r="B19" s="15">
        <v>2816747</v>
      </c>
      <c r="C19" s="15" t="s">
        <v>9</v>
      </c>
      <c r="D19" s="129">
        <v>0</v>
      </c>
      <c r="E19" s="15"/>
      <c r="F19" s="15" t="s">
        <v>268</v>
      </c>
      <c r="G19" s="15" t="s">
        <v>2</v>
      </c>
      <c r="H19" s="15" t="s">
        <v>262</v>
      </c>
      <c r="I19" s="15" t="s">
        <v>263</v>
      </c>
      <c r="J19" s="15" t="s">
        <v>264</v>
      </c>
      <c r="K19" s="15" t="s">
        <v>265</v>
      </c>
      <c r="L19" s="15">
        <v>343</v>
      </c>
      <c r="M19" s="15">
        <v>0</v>
      </c>
      <c r="N19" s="63" t="s">
        <v>10</v>
      </c>
      <c r="O19" s="632"/>
      <c r="P19" s="646"/>
      <c r="Q19" s="632"/>
    </row>
    <row r="20" spans="1:17" ht="25.5" customHeight="1" x14ac:dyDescent="0.25">
      <c r="A20" s="10">
        <v>44493</v>
      </c>
      <c r="B20" s="11">
        <v>2010721205</v>
      </c>
      <c r="C20" s="11" t="s">
        <v>0</v>
      </c>
      <c r="D20" s="125">
        <v>149057.13</v>
      </c>
      <c r="E20" s="11" t="s">
        <v>1</v>
      </c>
      <c r="F20" s="11" t="s">
        <v>2</v>
      </c>
      <c r="G20" s="11" t="s">
        <v>42</v>
      </c>
      <c r="H20" s="11" t="s">
        <v>262</v>
      </c>
      <c r="I20" s="11" t="s">
        <v>263</v>
      </c>
      <c r="J20" s="11" t="s">
        <v>264</v>
      </c>
      <c r="K20" s="11" t="s">
        <v>265</v>
      </c>
      <c r="L20" s="11">
        <v>879</v>
      </c>
      <c r="M20" s="11">
        <v>29500</v>
      </c>
      <c r="N20" s="60" t="s">
        <v>8</v>
      </c>
      <c r="O20" s="630">
        <v>45760.538910000003</v>
      </c>
      <c r="P20" s="636">
        <f>O20/D20*100</f>
        <v>30.7</v>
      </c>
      <c r="Q20" s="630">
        <f>D20/(L20+L21)</f>
        <v>84.787901023890782</v>
      </c>
    </row>
    <row r="21" spans="1:17" ht="25.5" customHeight="1" x14ac:dyDescent="0.25">
      <c r="A21" s="10">
        <v>44494</v>
      </c>
      <c r="B21" s="11">
        <v>2816726</v>
      </c>
      <c r="C21" s="11" t="s">
        <v>9</v>
      </c>
      <c r="D21" s="125">
        <v>0</v>
      </c>
      <c r="E21" s="11"/>
      <c r="F21" s="11" t="s">
        <v>42</v>
      </c>
      <c r="G21" s="11" t="s">
        <v>2</v>
      </c>
      <c r="H21" s="11" t="s">
        <v>262</v>
      </c>
      <c r="I21" s="11" t="s">
        <v>263</v>
      </c>
      <c r="J21" s="11" t="s">
        <v>264</v>
      </c>
      <c r="K21" s="11" t="s">
        <v>265</v>
      </c>
      <c r="L21" s="11">
        <v>879</v>
      </c>
      <c r="M21" s="11">
        <v>0</v>
      </c>
      <c r="N21" s="60" t="s">
        <v>10</v>
      </c>
      <c r="O21" s="630"/>
      <c r="P21" s="636"/>
      <c r="Q21" s="630"/>
    </row>
    <row r="22" spans="1:17" ht="25.5" customHeight="1" x14ac:dyDescent="0.25">
      <c r="A22" s="16">
        <v>44496</v>
      </c>
      <c r="B22" s="17">
        <v>2010715427</v>
      </c>
      <c r="C22" s="17" t="s">
        <v>0</v>
      </c>
      <c r="D22" s="128">
        <v>125108.71</v>
      </c>
      <c r="E22" s="17" t="s">
        <v>44</v>
      </c>
      <c r="F22" s="17" t="s">
        <v>2</v>
      </c>
      <c r="G22" s="17" t="s">
        <v>3</v>
      </c>
      <c r="H22" s="17" t="s">
        <v>262</v>
      </c>
      <c r="I22" s="17" t="s">
        <v>263</v>
      </c>
      <c r="J22" s="17" t="s">
        <v>264</v>
      </c>
      <c r="K22" s="17" t="s">
        <v>265</v>
      </c>
      <c r="L22" s="17">
        <v>740</v>
      </c>
      <c r="M22" s="17">
        <v>28870</v>
      </c>
      <c r="N22" s="61" t="s">
        <v>8</v>
      </c>
      <c r="O22" s="628">
        <v>38408.373970000001</v>
      </c>
      <c r="P22" s="643">
        <f>O22/D22*100</f>
        <v>30.7</v>
      </c>
      <c r="Q22" s="628">
        <f>D22/(L22+L23)</f>
        <v>84.532912162162162</v>
      </c>
    </row>
    <row r="23" spans="1:17" ht="25.5" customHeight="1" x14ac:dyDescent="0.25">
      <c r="A23" s="16">
        <v>44497</v>
      </c>
      <c r="B23" s="17">
        <v>2816712</v>
      </c>
      <c r="C23" s="17" t="s">
        <v>9</v>
      </c>
      <c r="D23" s="128">
        <v>0</v>
      </c>
      <c r="E23" s="17"/>
      <c r="F23" s="17" t="s">
        <v>3</v>
      </c>
      <c r="G23" s="17" t="s">
        <v>2</v>
      </c>
      <c r="H23" s="17" t="s">
        <v>262</v>
      </c>
      <c r="I23" s="17" t="s">
        <v>263</v>
      </c>
      <c r="J23" s="17" t="s">
        <v>264</v>
      </c>
      <c r="K23" s="17" t="s">
        <v>265</v>
      </c>
      <c r="L23" s="17">
        <v>740</v>
      </c>
      <c r="M23" s="17">
        <v>0</v>
      </c>
      <c r="N23" s="61" t="s">
        <v>10</v>
      </c>
      <c r="O23" s="628"/>
      <c r="P23" s="643"/>
      <c r="Q23" s="628"/>
    </row>
    <row r="24" spans="1:17" ht="25.5" customHeight="1" x14ac:dyDescent="0.25">
      <c r="A24" s="6">
        <v>44500</v>
      </c>
      <c r="B24" s="7">
        <v>2010749580</v>
      </c>
      <c r="C24" s="7" t="s">
        <v>0</v>
      </c>
      <c r="D24" s="8">
        <v>63271.58</v>
      </c>
      <c r="E24" s="7" t="s">
        <v>11</v>
      </c>
      <c r="F24" s="7" t="s">
        <v>2</v>
      </c>
      <c r="G24" s="7" t="s">
        <v>61</v>
      </c>
      <c r="H24" s="7" t="s">
        <v>262</v>
      </c>
      <c r="I24" s="7" t="s">
        <v>263</v>
      </c>
      <c r="J24" s="7" t="s">
        <v>264</v>
      </c>
      <c r="K24" s="7" t="s">
        <v>265</v>
      </c>
      <c r="L24" s="7">
        <v>352</v>
      </c>
      <c r="M24" s="7">
        <v>30140</v>
      </c>
      <c r="N24" s="9" t="s">
        <v>38</v>
      </c>
      <c r="O24" s="24">
        <v>19424.375059999998</v>
      </c>
      <c r="P24" s="28">
        <f>O24/D24*100</f>
        <v>30.7</v>
      </c>
      <c r="Q24" s="24">
        <f>D24/L24</f>
        <v>179.74880681818183</v>
      </c>
    </row>
    <row r="25" spans="1:17" x14ac:dyDescent="0.25">
      <c r="A25" s="9"/>
      <c r="B25" s="9"/>
      <c r="C25" s="9"/>
      <c r="D25" s="18">
        <f>SUM(D4:D24)</f>
        <v>1160317.33</v>
      </c>
      <c r="E25" s="9"/>
      <c r="F25" s="9"/>
      <c r="G25" s="9"/>
      <c r="H25" s="9"/>
      <c r="I25" s="9"/>
      <c r="J25" s="9"/>
      <c r="K25" s="9"/>
      <c r="L25" s="9">
        <f>SUM(L4:L24)</f>
        <v>13176</v>
      </c>
      <c r="M25" s="9"/>
      <c r="N25" s="9"/>
      <c r="O25" s="24">
        <f>SUM(O4:O24)</f>
        <v>356217.42031000002</v>
      </c>
      <c r="P25" s="28">
        <f>O25/D25*100</f>
        <v>30.7</v>
      </c>
      <c r="Q25" s="26">
        <f>D25/L25</f>
        <v>88.062942471159687</v>
      </c>
    </row>
    <row r="27" spans="1:17" x14ac:dyDescent="0.25">
      <c r="A27" s="99" t="s">
        <v>322</v>
      </c>
      <c r="B27" s="100" t="s">
        <v>328</v>
      </c>
      <c r="C27" s="101"/>
      <c r="D27" s="102"/>
    </row>
    <row r="28" spans="1:17" x14ac:dyDescent="0.25">
      <c r="A28" s="103">
        <f>D25/L25</f>
        <v>88.062942471159687</v>
      </c>
      <c r="B28" s="9"/>
      <c r="C28" s="104"/>
      <c r="D28" s="105"/>
    </row>
    <row r="29" spans="1:17" x14ac:dyDescent="0.25">
      <c r="D29" s="25"/>
    </row>
    <row r="30" spans="1:17" x14ac:dyDescent="0.25">
      <c r="A30" s="36"/>
      <c r="B30" s="36" t="s">
        <v>329</v>
      </c>
      <c r="C30" s="36" t="s">
        <v>330</v>
      </c>
      <c r="D30" s="106" t="s">
        <v>265</v>
      </c>
    </row>
    <row r="31" spans="1:17" x14ac:dyDescent="0.25">
      <c r="A31" s="7" t="s">
        <v>331</v>
      </c>
      <c r="B31" s="42">
        <f>D25</f>
        <v>1160317.33</v>
      </c>
      <c r="C31" s="45">
        <f>B32</f>
        <v>356217.42031000002</v>
      </c>
      <c r="D31" s="46">
        <f>C31/B31</f>
        <v>0.307</v>
      </c>
    </row>
    <row r="32" spans="1:17" x14ac:dyDescent="0.25">
      <c r="A32" s="47" t="s">
        <v>27</v>
      </c>
      <c r="B32" s="24">
        <f>O25</f>
        <v>356217.42031000002</v>
      </c>
      <c r="C32" s="9"/>
      <c r="D32" s="25"/>
    </row>
    <row r="33" spans="1:4" x14ac:dyDescent="0.25">
      <c r="A33" s="48" t="s">
        <v>332</v>
      </c>
      <c r="B33" s="107"/>
      <c r="C33" s="49">
        <f>(12*(78578.313+12454.55))/(150000+80000)*L25</f>
        <v>62579.947976765216</v>
      </c>
      <c r="D33" s="25"/>
    </row>
    <row r="34" spans="1:4" x14ac:dyDescent="0.25">
      <c r="A34" s="48" t="s">
        <v>335</v>
      </c>
      <c r="B34" s="107"/>
      <c r="C34" s="42"/>
      <c r="D34" s="25"/>
    </row>
    <row r="35" spans="1:4" x14ac:dyDescent="0.25">
      <c r="A35" s="48" t="s">
        <v>336</v>
      </c>
      <c r="B35" s="107"/>
      <c r="C35" s="42">
        <f>'PATENTE MUNICIPAL'!I44</f>
        <v>20.833333333333332</v>
      </c>
      <c r="D35" s="25"/>
    </row>
    <row r="36" spans="1:4" x14ac:dyDescent="0.25">
      <c r="A36" s="48" t="s">
        <v>337</v>
      </c>
      <c r="B36" s="107"/>
      <c r="C36" s="42">
        <f>SEGURO!K48</f>
        <v>261.09831688804553</v>
      </c>
      <c r="D36" s="25"/>
    </row>
    <row r="37" spans="1:4" x14ac:dyDescent="0.25">
      <c r="A37" s="48" t="s">
        <v>339</v>
      </c>
      <c r="B37" s="107"/>
      <c r="C37" s="42">
        <f>'GASTOS SEMI'!H127</f>
        <v>355</v>
      </c>
      <c r="D37" s="25"/>
    </row>
    <row r="38" spans="1:4" x14ac:dyDescent="0.25">
      <c r="A38" s="48" t="s">
        <v>340</v>
      </c>
      <c r="B38" s="107"/>
      <c r="C38" s="51">
        <f>SUM(C33:C37)</f>
        <v>63216.8796269866</v>
      </c>
      <c r="D38" s="25"/>
    </row>
    <row r="39" spans="1:4" x14ac:dyDescent="0.25">
      <c r="A39" s="36" t="s">
        <v>341</v>
      </c>
      <c r="B39" s="107"/>
      <c r="C39" s="53">
        <f>C31-C32-C38</f>
        <v>293000.54068301339</v>
      </c>
      <c r="D39" s="106">
        <f>+B39+C39</f>
        <v>293000.54068301339</v>
      </c>
    </row>
  </sheetData>
  <sortState xmlns:xlrd2="http://schemas.microsoft.com/office/spreadsheetml/2017/richdata2" ref="A2:P22">
    <sortCondition ref="A1"/>
  </sortState>
  <mergeCells count="31">
    <mergeCell ref="A1:Q2"/>
    <mergeCell ref="Q6:Q7"/>
    <mergeCell ref="P6:P7"/>
    <mergeCell ref="O6:O7"/>
    <mergeCell ref="Q4:Q5"/>
    <mergeCell ref="P4:P5"/>
    <mergeCell ref="O4:O5"/>
    <mergeCell ref="Q10:Q11"/>
    <mergeCell ref="P10:P11"/>
    <mergeCell ref="O10:O11"/>
    <mergeCell ref="Q8:Q9"/>
    <mergeCell ref="P8:P9"/>
    <mergeCell ref="O8:O9"/>
    <mergeCell ref="Q14:Q15"/>
    <mergeCell ref="P14:P15"/>
    <mergeCell ref="O14:O15"/>
    <mergeCell ref="Q12:Q13"/>
    <mergeCell ref="P12:P13"/>
    <mergeCell ref="O12:O13"/>
    <mergeCell ref="Q18:Q19"/>
    <mergeCell ref="P18:P19"/>
    <mergeCell ref="O18:O19"/>
    <mergeCell ref="Q16:Q17"/>
    <mergeCell ref="P16:P17"/>
    <mergeCell ref="O16:O17"/>
    <mergeCell ref="Q22:Q23"/>
    <mergeCell ref="P22:P23"/>
    <mergeCell ref="O22:O23"/>
    <mergeCell ref="Q20:Q21"/>
    <mergeCell ref="P20:P21"/>
    <mergeCell ref="O20:O2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B050"/>
  </sheetPr>
  <dimension ref="A1:Q38"/>
  <sheetViews>
    <sheetView topLeftCell="A26" zoomScaleNormal="100" workbookViewId="0">
      <selection activeCell="A30" sqref="A30"/>
    </sheetView>
  </sheetViews>
  <sheetFormatPr baseColWidth="10" defaultRowHeight="15" x14ac:dyDescent="0.25"/>
  <cols>
    <col min="1" max="1" width="14.42578125" style="2" bestFit="1" customWidth="1"/>
    <col min="2" max="2" width="14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34.85546875" style="2" bestFit="1" customWidth="1"/>
    <col min="8" max="8" width="34.28515625" style="2" bestFit="1" customWidth="1"/>
    <col min="9" max="9" width="21.8554687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7" t="s">
        <v>370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44473</v>
      </c>
      <c r="B4" s="11">
        <v>2010640524</v>
      </c>
      <c r="C4" s="11" t="s">
        <v>0</v>
      </c>
      <c r="D4" s="125">
        <v>63987.32</v>
      </c>
      <c r="E4" s="11" t="s">
        <v>56</v>
      </c>
      <c r="F4" s="11" t="s">
        <v>2</v>
      </c>
      <c r="G4" s="11" t="s">
        <v>67</v>
      </c>
      <c r="H4" s="11" t="s">
        <v>262</v>
      </c>
      <c r="I4" s="11" t="s">
        <v>272</v>
      </c>
      <c r="J4" s="11" t="s">
        <v>273</v>
      </c>
      <c r="K4" s="11" t="s">
        <v>274</v>
      </c>
      <c r="L4" s="11">
        <v>359</v>
      </c>
      <c r="M4" s="11">
        <v>29450</v>
      </c>
      <c r="N4" s="11" t="s">
        <v>38</v>
      </c>
      <c r="O4" s="637">
        <v>19644.107240000001</v>
      </c>
      <c r="P4" s="636">
        <f>O4/D4*100</f>
        <v>30.7</v>
      </c>
      <c r="Q4" s="630">
        <f>D4/(L4+L5)</f>
        <v>89.118830083565456</v>
      </c>
    </row>
    <row r="5" spans="1:17" ht="25.5" customHeight="1" x14ac:dyDescent="0.25">
      <c r="A5" s="10">
        <v>44474</v>
      </c>
      <c r="B5" s="11">
        <v>2816833</v>
      </c>
      <c r="C5" s="11" t="s">
        <v>9</v>
      </c>
      <c r="D5" s="125">
        <v>0</v>
      </c>
      <c r="E5" s="11"/>
      <c r="F5" s="11" t="s">
        <v>67</v>
      </c>
      <c r="G5" s="11" t="s">
        <v>2</v>
      </c>
      <c r="H5" s="11" t="s">
        <v>262</v>
      </c>
      <c r="I5" s="11" t="s">
        <v>272</v>
      </c>
      <c r="J5" s="11" t="s">
        <v>273</v>
      </c>
      <c r="K5" s="11" t="s">
        <v>274</v>
      </c>
      <c r="L5" s="11">
        <v>359</v>
      </c>
      <c r="M5" s="11">
        <v>0</v>
      </c>
      <c r="N5" s="11" t="s">
        <v>10</v>
      </c>
      <c r="O5" s="638"/>
      <c r="P5" s="636"/>
      <c r="Q5" s="630"/>
    </row>
    <row r="6" spans="1:17" ht="25.5" customHeight="1" x14ac:dyDescent="0.25">
      <c r="A6" s="16">
        <v>44475</v>
      </c>
      <c r="B6" s="17">
        <v>2010641435</v>
      </c>
      <c r="C6" s="17" t="s">
        <v>0</v>
      </c>
      <c r="D6" s="128">
        <v>65590.13</v>
      </c>
      <c r="E6" s="17" t="s">
        <v>34</v>
      </c>
      <c r="F6" s="17" t="s">
        <v>2</v>
      </c>
      <c r="G6" s="17" t="s">
        <v>275</v>
      </c>
      <c r="H6" s="17" t="s">
        <v>262</v>
      </c>
      <c r="I6" s="17" t="s">
        <v>272</v>
      </c>
      <c r="J6" s="17" t="s">
        <v>273</v>
      </c>
      <c r="K6" s="17" t="s">
        <v>274</v>
      </c>
      <c r="L6" s="17">
        <v>368</v>
      </c>
      <c r="M6" s="17">
        <v>28660</v>
      </c>
      <c r="N6" s="17" t="s">
        <v>38</v>
      </c>
      <c r="O6" s="644">
        <v>20136.169910000001</v>
      </c>
      <c r="P6" s="643">
        <f>O6/D6*100</f>
        <v>30.7</v>
      </c>
      <c r="Q6" s="628">
        <f>D6/(L6+L7)</f>
        <v>89.117024456521747</v>
      </c>
    </row>
    <row r="7" spans="1:17" ht="25.5" customHeight="1" x14ac:dyDescent="0.25">
      <c r="A7" s="16">
        <v>44475</v>
      </c>
      <c r="B7" s="17">
        <v>2816827</v>
      </c>
      <c r="C7" s="17" t="s">
        <v>9</v>
      </c>
      <c r="D7" s="128">
        <v>0</v>
      </c>
      <c r="E7" s="17"/>
      <c r="F7" s="17" t="s">
        <v>275</v>
      </c>
      <c r="G7" s="17" t="s">
        <v>2</v>
      </c>
      <c r="H7" s="17" t="s">
        <v>262</v>
      </c>
      <c r="I7" s="17" t="s">
        <v>272</v>
      </c>
      <c r="J7" s="17" t="s">
        <v>273</v>
      </c>
      <c r="K7" s="17" t="s">
        <v>274</v>
      </c>
      <c r="L7" s="17">
        <v>368</v>
      </c>
      <c r="M7" s="17">
        <v>0</v>
      </c>
      <c r="N7" s="17" t="s">
        <v>10</v>
      </c>
      <c r="O7" s="645"/>
      <c r="P7" s="643"/>
      <c r="Q7" s="628"/>
    </row>
    <row r="8" spans="1:17" ht="25.5" customHeight="1" x14ac:dyDescent="0.25">
      <c r="A8" s="12">
        <v>44478</v>
      </c>
      <c r="B8" s="13">
        <v>2010654149</v>
      </c>
      <c r="C8" s="13" t="s">
        <v>0</v>
      </c>
      <c r="D8" s="127">
        <v>63451.38</v>
      </c>
      <c r="E8" s="13" t="s">
        <v>34</v>
      </c>
      <c r="F8" s="13" t="s">
        <v>2</v>
      </c>
      <c r="G8" s="13" t="s">
        <v>101</v>
      </c>
      <c r="H8" s="13" t="s">
        <v>262</v>
      </c>
      <c r="I8" s="13" t="s">
        <v>272</v>
      </c>
      <c r="J8" s="13" t="s">
        <v>273</v>
      </c>
      <c r="K8" s="13" t="s">
        <v>274</v>
      </c>
      <c r="L8" s="13">
        <v>356</v>
      </c>
      <c r="M8" s="13">
        <v>29330</v>
      </c>
      <c r="N8" s="13" t="s">
        <v>38</v>
      </c>
      <c r="O8" s="640">
        <v>19479.573659999998</v>
      </c>
      <c r="P8" s="639">
        <f>O8/D8*100</f>
        <v>30.7</v>
      </c>
      <c r="Q8" s="634">
        <f>D8/(L8+L9)</f>
        <v>89.117106741573025</v>
      </c>
    </row>
    <row r="9" spans="1:17" ht="25.5" customHeight="1" x14ac:dyDescent="0.25">
      <c r="A9" s="12">
        <v>44480</v>
      </c>
      <c r="B9" s="13">
        <v>2816808</v>
      </c>
      <c r="C9" s="13" t="s">
        <v>9</v>
      </c>
      <c r="D9" s="127">
        <v>0</v>
      </c>
      <c r="E9" s="13"/>
      <c r="F9" s="13" t="s">
        <v>101</v>
      </c>
      <c r="G9" s="13" t="s">
        <v>2</v>
      </c>
      <c r="H9" s="13" t="s">
        <v>262</v>
      </c>
      <c r="I9" s="13" t="s">
        <v>272</v>
      </c>
      <c r="J9" s="13" t="s">
        <v>273</v>
      </c>
      <c r="K9" s="13" t="s">
        <v>274</v>
      </c>
      <c r="L9" s="13">
        <v>356</v>
      </c>
      <c r="M9" s="13">
        <v>0</v>
      </c>
      <c r="N9" s="13" t="s">
        <v>10</v>
      </c>
      <c r="O9" s="642"/>
      <c r="P9" s="639"/>
      <c r="Q9" s="634"/>
    </row>
    <row r="10" spans="1:17" ht="25.5" customHeight="1" x14ac:dyDescent="0.25">
      <c r="A10" s="14">
        <v>44481</v>
      </c>
      <c r="B10" s="15">
        <v>2010663054</v>
      </c>
      <c r="C10" s="15" t="s">
        <v>0</v>
      </c>
      <c r="D10" s="129">
        <v>125108.71</v>
      </c>
      <c r="E10" s="15" t="s">
        <v>36</v>
      </c>
      <c r="F10" s="15" t="s">
        <v>2</v>
      </c>
      <c r="G10" s="15" t="s">
        <v>276</v>
      </c>
      <c r="H10" s="15" t="s">
        <v>262</v>
      </c>
      <c r="I10" s="15" t="s">
        <v>272</v>
      </c>
      <c r="J10" s="15" t="s">
        <v>273</v>
      </c>
      <c r="K10" s="15" t="s">
        <v>274</v>
      </c>
      <c r="L10" s="15">
        <v>740</v>
      </c>
      <c r="M10" s="15">
        <v>29340</v>
      </c>
      <c r="N10" s="15" t="s">
        <v>38</v>
      </c>
      <c r="O10" s="647">
        <v>38408.373970000001</v>
      </c>
      <c r="P10" s="646">
        <f>O10/D10*100</f>
        <v>30.7</v>
      </c>
      <c r="Q10" s="632">
        <f>D10/(L10+L11)</f>
        <v>84.532912162162162</v>
      </c>
    </row>
    <row r="11" spans="1:17" ht="25.5" customHeight="1" x14ac:dyDescent="0.25">
      <c r="A11" s="14">
        <v>44482</v>
      </c>
      <c r="B11" s="15">
        <v>2816793</v>
      </c>
      <c r="C11" s="15" t="s">
        <v>9</v>
      </c>
      <c r="D11" s="129">
        <v>0</v>
      </c>
      <c r="E11" s="15"/>
      <c r="F11" s="15" t="s">
        <v>62</v>
      </c>
      <c r="G11" s="15" t="s">
        <v>2</v>
      </c>
      <c r="H11" s="15" t="s">
        <v>262</v>
      </c>
      <c r="I11" s="15" t="s">
        <v>272</v>
      </c>
      <c r="J11" s="15" t="s">
        <v>273</v>
      </c>
      <c r="K11" s="15" t="s">
        <v>274</v>
      </c>
      <c r="L11" s="15">
        <v>740</v>
      </c>
      <c r="M11" s="15">
        <v>0</v>
      </c>
      <c r="N11" s="15" t="s">
        <v>10</v>
      </c>
      <c r="O11" s="648"/>
      <c r="P11" s="646"/>
      <c r="Q11" s="632"/>
    </row>
    <row r="12" spans="1:17" ht="25.5" customHeight="1" x14ac:dyDescent="0.25">
      <c r="A12" s="10">
        <v>44483</v>
      </c>
      <c r="B12" s="11">
        <v>2010654193</v>
      </c>
      <c r="C12" s="11" t="s">
        <v>0</v>
      </c>
      <c r="D12" s="125">
        <v>63451.38</v>
      </c>
      <c r="E12" s="11" t="s">
        <v>39</v>
      </c>
      <c r="F12" s="11" t="s">
        <v>2</v>
      </c>
      <c r="G12" s="11" t="s">
        <v>101</v>
      </c>
      <c r="H12" s="11" t="s">
        <v>262</v>
      </c>
      <c r="I12" s="11" t="s">
        <v>272</v>
      </c>
      <c r="J12" s="11" t="s">
        <v>273</v>
      </c>
      <c r="K12" s="11" t="s">
        <v>274</v>
      </c>
      <c r="L12" s="11">
        <v>356</v>
      </c>
      <c r="M12" s="11">
        <v>29240</v>
      </c>
      <c r="N12" s="11" t="s">
        <v>38</v>
      </c>
      <c r="O12" s="637">
        <v>19479.573659999998</v>
      </c>
      <c r="P12" s="636">
        <f>O12/D12*100</f>
        <v>30.7</v>
      </c>
      <c r="Q12" s="630">
        <f>D12/(L12+L13)</f>
        <v>89.117106741573025</v>
      </c>
    </row>
    <row r="13" spans="1:17" ht="25.5" customHeight="1" x14ac:dyDescent="0.25">
      <c r="A13" s="10">
        <v>44484</v>
      </c>
      <c r="B13" s="11">
        <v>2816777</v>
      </c>
      <c r="C13" s="11" t="s">
        <v>9</v>
      </c>
      <c r="D13" s="125">
        <v>0</v>
      </c>
      <c r="E13" s="11"/>
      <c r="F13" s="11" t="s">
        <v>101</v>
      </c>
      <c r="G13" s="11" t="s">
        <v>2</v>
      </c>
      <c r="H13" s="11" t="s">
        <v>262</v>
      </c>
      <c r="I13" s="11" t="s">
        <v>272</v>
      </c>
      <c r="J13" s="11" t="s">
        <v>273</v>
      </c>
      <c r="K13" s="11" t="s">
        <v>274</v>
      </c>
      <c r="L13" s="11">
        <v>356</v>
      </c>
      <c r="M13" s="11">
        <v>0</v>
      </c>
      <c r="N13" s="11" t="s">
        <v>10</v>
      </c>
      <c r="O13" s="638"/>
      <c r="P13" s="636"/>
      <c r="Q13" s="630"/>
    </row>
    <row r="14" spans="1:17" ht="25.5" customHeight="1" x14ac:dyDescent="0.25">
      <c r="A14" s="16">
        <v>44485</v>
      </c>
      <c r="B14" s="17">
        <v>2010694713</v>
      </c>
      <c r="C14" s="17" t="s">
        <v>0</v>
      </c>
      <c r="D14" s="128">
        <v>125108.71</v>
      </c>
      <c r="E14" s="17" t="s">
        <v>41</v>
      </c>
      <c r="F14" s="17" t="s">
        <v>2</v>
      </c>
      <c r="G14" s="17" t="s">
        <v>3</v>
      </c>
      <c r="H14" s="17" t="s">
        <v>262</v>
      </c>
      <c r="I14" s="17" t="s">
        <v>272</v>
      </c>
      <c r="J14" s="17" t="s">
        <v>273</v>
      </c>
      <c r="K14" s="17" t="s">
        <v>274</v>
      </c>
      <c r="L14" s="17">
        <v>740</v>
      </c>
      <c r="M14" s="17">
        <v>29400</v>
      </c>
      <c r="N14" s="17" t="s">
        <v>8</v>
      </c>
      <c r="O14" s="644">
        <v>38408.373970000001</v>
      </c>
      <c r="P14" s="643">
        <f>O14/D14*100</f>
        <v>30.7</v>
      </c>
      <c r="Q14" s="628">
        <f>D14/(L14+L15)</f>
        <v>84.532912162162162</v>
      </c>
    </row>
    <row r="15" spans="1:17" ht="25.5" customHeight="1" x14ac:dyDescent="0.25">
      <c r="A15" s="16">
        <v>44488</v>
      </c>
      <c r="B15" s="17">
        <v>2816761</v>
      </c>
      <c r="C15" s="17" t="s">
        <v>9</v>
      </c>
      <c r="D15" s="128">
        <v>0</v>
      </c>
      <c r="E15" s="17"/>
      <c r="F15" s="17" t="s">
        <v>3</v>
      </c>
      <c r="G15" s="17" t="s">
        <v>2</v>
      </c>
      <c r="H15" s="17" t="s">
        <v>262</v>
      </c>
      <c r="I15" s="17" t="s">
        <v>272</v>
      </c>
      <c r="J15" s="17" t="s">
        <v>273</v>
      </c>
      <c r="K15" s="17" t="s">
        <v>274</v>
      </c>
      <c r="L15" s="17">
        <v>740</v>
      </c>
      <c r="M15" s="17">
        <v>0</v>
      </c>
      <c r="N15" s="17" t="s">
        <v>10</v>
      </c>
      <c r="O15" s="645"/>
      <c r="P15" s="643"/>
      <c r="Q15" s="628"/>
    </row>
    <row r="16" spans="1:17" ht="25.5" customHeight="1" x14ac:dyDescent="0.25">
      <c r="A16" s="12">
        <v>44489</v>
      </c>
      <c r="B16" s="13">
        <v>2010696482</v>
      </c>
      <c r="C16" s="13" t="s">
        <v>0</v>
      </c>
      <c r="D16" s="127">
        <v>149057.13</v>
      </c>
      <c r="E16" s="13" t="s">
        <v>60</v>
      </c>
      <c r="F16" s="13" t="s">
        <v>2</v>
      </c>
      <c r="G16" s="13" t="s">
        <v>42</v>
      </c>
      <c r="H16" s="13" t="s">
        <v>262</v>
      </c>
      <c r="I16" s="13" t="s">
        <v>272</v>
      </c>
      <c r="J16" s="13" t="s">
        <v>273</v>
      </c>
      <c r="K16" s="13" t="s">
        <v>274</v>
      </c>
      <c r="L16" s="13">
        <v>879</v>
      </c>
      <c r="M16" s="13">
        <v>29220</v>
      </c>
      <c r="N16" s="13" t="s">
        <v>8</v>
      </c>
      <c r="O16" s="640">
        <v>45760.538910000003</v>
      </c>
      <c r="P16" s="639">
        <f>O16/D16*100</f>
        <v>30.7</v>
      </c>
      <c r="Q16" s="634">
        <f>D16/(L16+L17)</f>
        <v>84.787901023890782</v>
      </c>
    </row>
    <row r="17" spans="1:17" ht="25.5" customHeight="1" x14ac:dyDescent="0.25">
      <c r="A17" s="12">
        <v>44490</v>
      </c>
      <c r="B17" s="13">
        <v>2816746</v>
      </c>
      <c r="C17" s="13" t="s">
        <v>9</v>
      </c>
      <c r="D17" s="127">
        <v>0</v>
      </c>
      <c r="E17" s="13"/>
      <c r="F17" s="13" t="s">
        <v>42</v>
      </c>
      <c r="G17" s="13" t="s">
        <v>2</v>
      </c>
      <c r="H17" s="13" t="s">
        <v>262</v>
      </c>
      <c r="I17" s="13" t="s">
        <v>272</v>
      </c>
      <c r="J17" s="13" t="s">
        <v>273</v>
      </c>
      <c r="K17" s="13" t="s">
        <v>274</v>
      </c>
      <c r="L17" s="13">
        <v>879</v>
      </c>
      <c r="M17" s="13">
        <v>0</v>
      </c>
      <c r="N17" s="13" t="s">
        <v>10</v>
      </c>
      <c r="O17" s="642"/>
      <c r="P17" s="639"/>
      <c r="Q17" s="634"/>
    </row>
    <row r="18" spans="1:17" ht="25.5" customHeight="1" x14ac:dyDescent="0.25">
      <c r="A18" s="14">
        <v>44491</v>
      </c>
      <c r="B18" s="15">
        <v>2010715560</v>
      </c>
      <c r="C18" s="15" t="s">
        <v>0</v>
      </c>
      <c r="D18" s="129">
        <v>125108.71</v>
      </c>
      <c r="E18" s="15" t="s">
        <v>1</v>
      </c>
      <c r="F18" s="15" t="s">
        <v>2</v>
      </c>
      <c r="G18" s="15" t="s">
        <v>3</v>
      </c>
      <c r="H18" s="15" t="s">
        <v>262</v>
      </c>
      <c r="I18" s="15" t="s">
        <v>272</v>
      </c>
      <c r="J18" s="15" t="s">
        <v>273</v>
      </c>
      <c r="K18" s="15" t="s">
        <v>274</v>
      </c>
      <c r="L18" s="15">
        <v>740</v>
      </c>
      <c r="M18" s="15">
        <v>29420</v>
      </c>
      <c r="N18" s="15" t="s">
        <v>8</v>
      </c>
      <c r="O18" s="647">
        <v>38408.373970000001</v>
      </c>
      <c r="P18" s="646">
        <f>O18/D18*100</f>
        <v>30.7</v>
      </c>
      <c r="Q18" s="632">
        <f>D18/(L18+L19)</f>
        <v>84.532912162162162</v>
      </c>
    </row>
    <row r="19" spans="1:17" ht="25.5" customHeight="1" x14ac:dyDescent="0.25">
      <c r="A19" s="14">
        <v>44493</v>
      </c>
      <c r="B19" s="15">
        <v>2816733</v>
      </c>
      <c r="C19" s="15" t="s">
        <v>9</v>
      </c>
      <c r="D19" s="129">
        <v>0</v>
      </c>
      <c r="E19" s="15"/>
      <c r="F19" s="15" t="s">
        <v>3</v>
      </c>
      <c r="G19" s="15" t="s">
        <v>2</v>
      </c>
      <c r="H19" s="15" t="s">
        <v>262</v>
      </c>
      <c r="I19" s="15" t="s">
        <v>272</v>
      </c>
      <c r="J19" s="15" t="s">
        <v>273</v>
      </c>
      <c r="K19" s="15" t="s">
        <v>274</v>
      </c>
      <c r="L19" s="15">
        <v>740</v>
      </c>
      <c r="M19" s="15">
        <v>0</v>
      </c>
      <c r="N19" s="15" t="s">
        <v>10</v>
      </c>
      <c r="O19" s="648"/>
      <c r="P19" s="646"/>
      <c r="Q19" s="632"/>
    </row>
    <row r="20" spans="1:17" ht="25.5" customHeight="1" x14ac:dyDescent="0.25">
      <c r="A20" s="10">
        <v>44496</v>
      </c>
      <c r="B20" s="11">
        <v>2010731056</v>
      </c>
      <c r="C20" s="11" t="s">
        <v>0</v>
      </c>
      <c r="D20" s="125">
        <v>94685.85</v>
      </c>
      <c r="E20" s="11" t="s">
        <v>44</v>
      </c>
      <c r="F20" s="11" t="s">
        <v>2</v>
      </c>
      <c r="G20" s="11" t="s">
        <v>57</v>
      </c>
      <c r="H20" s="11" t="s">
        <v>262</v>
      </c>
      <c r="I20" s="11" t="s">
        <v>272</v>
      </c>
      <c r="J20" s="11" t="s">
        <v>273</v>
      </c>
      <c r="K20" s="11" t="s">
        <v>274</v>
      </c>
      <c r="L20" s="11">
        <v>550</v>
      </c>
      <c r="M20" s="11">
        <v>29300</v>
      </c>
      <c r="N20" s="11" t="s">
        <v>38</v>
      </c>
      <c r="O20" s="637">
        <v>29068.555950000002</v>
      </c>
      <c r="P20" s="636">
        <f>O20/D20*100</f>
        <v>30.7</v>
      </c>
      <c r="Q20" s="630">
        <f>D20/(L20+L21)</f>
        <v>86.07804545454546</v>
      </c>
    </row>
    <row r="21" spans="1:17" ht="25.5" customHeight="1" x14ac:dyDescent="0.25">
      <c r="A21" s="10">
        <v>44497</v>
      </c>
      <c r="B21" s="11">
        <v>2816711</v>
      </c>
      <c r="C21" s="11" t="s">
        <v>9</v>
      </c>
      <c r="D21" s="125">
        <v>0</v>
      </c>
      <c r="E21" s="11"/>
      <c r="F21" s="11" t="s">
        <v>57</v>
      </c>
      <c r="G21" s="11" t="s">
        <v>2</v>
      </c>
      <c r="H21" s="11" t="s">
        <v>262</v>
      </c>
      <c r="I21" s="11" t="s">
        <v>272</v>
      </c>
      <c r="J21" s="11" t="s">
        <v>273</v>
      </c>
      <c r="K21" s="11" t="s">
        <v>274</v>
      </c>
      <c r="L21" s="11">
        <v>550</v>
      </c>
      <c r="M21" s="11">
        <v>0</v>
      </c>
      <c r="N21" s="11" t="s">
        <v>10</v>
      </c>
      <c r="O21" s="638"/>
      <c r="P21" s="636"/>
      <c r="Q21" s="630"/>
    </row>
    <row r="22" spans="1:17" ht="25.5" customHeight="1" x14ac:dyDescent="0.25">
      <c r="A22" s="16">
        <v>44499</v>
      </c>
      <c r="B22" s="17">
        <v>2010715482</v>
      </c>
      <c r="C22" s="17" t="s">
        <v>0</v>
      </c>
      <c r="D22" s="128">
        <v>125108.71</v>
      </c>
      <c r="E22" s="17" t="s">
        <v>11</v>
      </c>
      <c r="F22" s="17" t="s">
        <v>2</v>
      </c>
      <c r="G22" s="17" t="s">
        <v>3</v>
      </c>
      <c r="H22" s="17" t="s">
        <v>262</v>
      </c>
      <c r="I22" s="17" t="s">
        <v>272</v>
      </c>
      <c r="J22" s="17" t="s">
        <v>273</v>
      </c>
      <c r="K22" s="17" t="s">
        <v>274</v>
      </c>
      <c r="L22" s="17">
        <v>740</v>
      </c>
      <c r="M22" s="17">
        <v>29280</v>
      </c>
      <c r="N22" s="17" t="s">
        <v>8</v>
      </c>
      <c r="O22" s="644">
        <v>38408.373970000001</v>
      </c>
      <c r="P22" s="643">
        <f>O22/D22*100</f>
        <v>30.7</v>
      </c>
      <c r="Q22" s="628">
        <f>D22/(L22+L23)</f>
        <v>84.532912162162162</v>
      </c>
    </row>
    <row r="23" spans="1:17" ht="25.5" customHeight="1" x14ac:dyDescent="0.25">
      <c r="A23" s="57">
        <v>44500</v>
      </c>
      <c r="B23" s="58">
        <v>2816691</v>
      </c>
      <c r="C23" s="58" t="s">
        <v>9</v>
      </c>
      <c r="D23" s="132">
        <v>0</v>
      </c>
      <c r="E23" s="58"/>
      <c r="F23" s="58" t="s">
        <v>3</v>
      </c>
      <c r="G23" s="58" t="s">
        <v>2</v>
      </c>
      <c r="H23" s="58" t="s">
        <v>262</v>
      </c>
      <c r="I23" s="58" t="s">
        <v>272</v>
      </c>
      <c r="J23" s="58" t="s">
        <v>273</v>
      </c>
      <c r="K23" s="58" t="s">
        <v>274</v>
      </c>
      <c r="L23" s="58">
        <v>740</v>
      </c>
      <c r="M23" s="58">
        <v>0</v>
      </c>
      <c r="N23" s="58" t="s">
        <v>10</v>
      </c>
      <c r="O23" s="645"/>
      <c r="P23" s="643"/>
      <c r="Q23" s="628"/>
    </row>
    <row r="24" spans="1:17" x14ac:dyDescent="0.25">
      <c r="A24" s="9"/>
      <c r="B24" s="9"/>
      <c r="C24" s="9"/>
      <c r="D24" s="18">
        <f>SUM(D4:D23)</f>
        <v>1000658.0299999999</v>
      </c>
      <c r="E24" s="9"/>
      <c r="F24" s="9"/>
      <c r="G24" s="9"/>
      <c r="H24" s="9"/>
      <c r="I24" s="9"/>
      <c r="J24" s="9"/>
      <c r="K24" s="9"/>
      <c r="L24" s="9">
        <f>SUM(L4:L23)</f>
        <v>11656</v>
      </c>
      <c r="M24" s="9"/>
      <c r="N24" s="9"/>
      <c r="O24" s="24">
        <f>SUM(O4:O23)</f>
        <v>307202.01521000004</v>
      </c>
      <c r="P24" s="28">
        <f>O24/D24*100</f>
        <v>30.700000000000006</v>
      </c>
      <c r="Q24" s="26">
        <f>D24/L24</f>
        <v>85.849178963623871</v>
      </c>
    </row>
    <row r="26" spans="1:17" x14ac:dyDescent="0.25">
      <c r="A26" s="99" t="s">
        <v>322</v>
      </c>
      <c r="B26" s="100" t="s">
        <v>328</v>
      </c>
      <c r="C26" s="101"/>
      <c r="D26" s="102"/>
    </row>
    <row r="27" spans="1:17" x14ac:dyDescent="0.25">
      <c r="A27" s="103">
        <f>D24/L24</f>
        <v>85.849178963623871</v>
      </c>
      <c r="B27" s="9"/>
      <c r="C27" s="104"/>
      <c r="D27" s="105"/>
    </row>
    <row r="28" spans="1:17" x14ac:dyDescent="0.25">
      <c r="D28" s="25"/>
    </row>
    <row r="29" spans="1:17" x14ac:dyDescent="0.25">
      <c r="A29" s="36"/>
      <c r="B29" s="36" t="s">
        <v>329</v>
      </c>
      <c r="C29" s="36" t="s">
        <v>330</v>
      </c>
      <c r="D29" s="106" t="s">
        <v>274</v>
      </c>
    </row>
    <row r="30" spans="1:17" x14ac:dyDescent="0.25">
      <c r="A30" s="7" t="s">
        <v>331</v>
      </c>
      <c r="B30" s="42">
        <f>D24</f>
        <v>1000658.0299999999</v>
      </c>
      <c r="C30" s="45">
        <f>B31</f>
        <v>307202.01521000004</v>
      </c>
      <c r="D30" s="46">
        <f>C30/B30</f>
        <v>0.30700000000000005</v>
      </c>
    </row>
    <row r="31" spans="1:17" x14ac:dyDescent="0.25">
      <c r="A31" s="47" t="s">
        <v>27</v>
      </c>
      <c r="B31" s="24">
        <f>O24</f>
        <v>307202.01521000004</v>
      </c>
      <c r="C31" s="9"/>
      <c r="D31" s="25"/>
    </row>
    <row r="32" spans="1:17" x14ac:dyDescent="0.25">
      <c r="A32" s="48" t="s">
        <v>332</v>
      </c>
      <c r="B32" s="107"/>
      <c r="C32" s="49">
        <f>(12*(78578.313+12454.55))/(150000+80000)*L24</f>
        <v>55360.646145808692</v>
      </c>
      <c r="D32" s="25"/>
    </row>
    <row r="33" spans="1:4" x14ac:dyDescent="0.25">
      <c r="A33" s="48" t="s">
        <v>335</v>
      </c>
      <c r="B33" s="107"/>
      <c r="C33" s="42"/>
      <c r="D33" s="25"/>
    </row>
    <row r="34" spans="1:4" x14ac:dyDescent="0.25">
      <c r="A34" s="48" t="s">
        <v>336</v>
      </c>
      <c r="B34" s="107"/>
      <c r="C34" s="42">
        <f>'PATENTE MUNICIPAL'!I61</f>
        <v>20.833333333333332</v>
      </c>
      <c r="D34" s="25"/>
    </row>
    <row r="35" spans="1:4" x14ac:dyDescent="0.25">
      <c r="A35" s="48" t="s">
        <v>337</v>
      </c>
      <c r="B35" s="107"/>
      <c r="C35" s="42">
        <f>SEGURO!K65</f>
        <v>261.09831688804553</v>
      </c>
      <c r="D35" s="25"/>
    </row>
    <row r="36" spans="1:4" x14ac:dyDescent="0.25">
      <c r="A36" s="48" t="s">
        <v>339</v>
      </c>
      <c r="B36" s="107"/>
      <c r="C36" s="42">
        <f>'GASTOS SEMI'!H174</f>
        <v>10063.1248</v>
      </c>
      <c r="D36" s="25"/>
    </row>
    <row r="37" spans="1:4" x14ac:dyDescent="0.25">
      <c r="A37" s="48" t="s">
        <v>340</v>
      </c>
      <c r="B37" s="107"/>
      <c r="C37" s="51">
        <f>SUM(C32:C36)</f>
        <v>65705.702596030082</v>
      </c>
      <c r="D37" s="25"/>
    </row>
    <row r="38" spans="1:4" x14ac:dyDescent="0.25">
      <c r="A38" s="36" t="s">
        <v>341</v>
      </c>
      <c r="B38" s="107"/>
      <c r="C38" s="53">
        <f>C30-C31-C37</f>
        <v>241496.31261396996</v>
      </c>
      <c r="D38" s="106">
        <f>+B38+C38</f>
        <v>241496.31261396996</v>
      </c>
    </row>
  </sheetData>
  <sortState xmlns:xlrd2="http://schemas.microsoft.com/office/spreadsheetml/2017/richdata2" ref="A2:P22">
    <sortCondition ref="A1"/>
  </sortState>
  <mergeCells count="31">
    <mergeCell ref="A1:Q2"/>
    <mergeCell ref="Q6:Q7"/>
    <mergeCell ref="P6:P7"/>
    <mergeCell ref="O6:O7"/>
    <mergeCell ref="Q4:Q5"/>
    <mergeCell ref="P4:P5"/>
    <mergeCell ref="O4:O5"/>
    <mergeCell ref="Q10:Q11"/>
    <mergeCell ref="P10:P11"/>
    <mergeCell ref="O10:O11"/>
    <mergeCell ref="Q8:Q9"/>
    <mergeCell ref="P8:P9"/>
    <mergeCell ref="O8:O9"/>
    <mergeCell ref="Q14:Q15"/>
    <mergeCell ref="P14:P15"/>
    <mergeCell ref="O14:O15"/>
    <mergeCell ref="Q12:Q13"/>
    <mergeCell ref="P12:P13"/>
    <mergeCell ref="O12:O13"/>
    <mergeCell ref="Q18:Q19"/>
    <mergeCell ref="P18:P19"/>
    <mergeCell ref="O18:O19"/>
    <mergeCell ref="Q16:Q17"/>
    <mergeCell ref="P16:P17"/>
    <mergeCell ref="O16:O17"/>
    <mergeCell ref="Q22:Q23"/>
    <mergeCell ref="P22:P23"/>
    <mergeCell ref="O22:O23"/>
    <mergeCell ref="Q20:Q21"/>
    <mergeCell ref="P20:P21"/>
    <mergeCell ref="O20:O2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B050"/>
  </sheetPr>
  <dimension ref="A1:Q38"/>
  <sheetViews>
    <sheetView zoomScaleNormal="100" workbookViewId="0">
      <selection activeCell="C36" sqref="C36"/>
    </sheetView>
  </sheetViews>
  <sheetFormatPr baseColWidth="10" defaultRowHeight="15" x14ac:dyDescent="0.25"/>
  <cols>
    <col min="1" max="1" width="14.42578125" style="2" bestFit="1" customWidth="1"/>
    <col min="2" max="2" width="14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44.28515625" style="2" bestFit="1" customWidth="1"/>
    <col min="8" max="9" width="13.7109375" style="2" bestFit="1" customWidth="1"/>
    <col min="10" max="10" width="9.5703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7" t="s">
        <v>371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2816289</v>
      </c>
      <c r="C4" s="4" t="s">
        <v>9</v>
      </c>
      <c r="D4" s="5">
        <v>0</v>
      </c>
      <c r="E4" s="4"/>
      <c r="F4" s="4" t="s">
        <v>3</v>
      </c>
      <c r="G4" s="4" t="s">
        <v>2</v>
      </c>
      <c r="H4" s="4" t="s">
        <v>53</v>
      </c>
      <c r="I4" s="4" t="s">
        <v>53</v>
      </c>
      <c r="J4" s="4" t="s">
        <v>54</v>
      </c>
      <c r="K4" s="4" t="s">
        <v>55</v>
      </c>
      <c r="L4" s="4">
        <v>740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17" ht="25.5" customHeight="1" x14ac:dyDescent="0.25">
      <c r="A5" s="10">
        <v>44472</v>
      </c>
      <c r="B5" s="11">
        <v>2010637760</v>
      </c>
      <c r="C5" s="11" t="s">
        <v>0</v>
      </c>
      <c r="D5" s="125">
        <v>125108.71</v>
      </c>
      <c r="E5" s="11" t="s">
        <v>56</v>
      </c>
      <c r="F5" s="11" t="s">
        <v>2</v>
      </c>
      <c r="G5" s="11" t="s">
        <v>35</v>
      </c>
      <c r="H5" s="11" t="s">
        <v>53</v>
      </c>
      <c r="I5" s="11" t="s">
        <v>53</v>
      </c>
      <c r="J5" s="11" t="s">
        <v>54</v>
      </c>
      <c r="K5" s="11" t="s">
        <v>55</v>
      </c>
      <c r="L5" s="11">
        <v>740</v>
      </c>
      <c r="M5" s="11">
        <v>29850</v>
      </c>
      <c r="N5" s="11" t="s">
        <v>8</v>
      </c>
      <c r="O5" s="637">
        <v>38408.373970000001</v>
      </c>
      <c r="P5" s="636">
        <f>O5/D5*100</f>
        <v>30.7</v>
      </c>
      <c r="Q5" s="630">
        <f>D5/(L5+L6)</f>
        <v>84.532912162162162</v>
      </c>
    </row>
    <row r="6" spans="1:17" ht="25.5" customHeight="1" x14ac:dyDescent="0.25">
      <c r="A6" s="10">
        <v>44473</v>
      </c>
      <c r="B6" s="11">
        <v>2816839</v>
      </c>
      <c r="C6" s="11" t="s">
        <v>9</v>
      </c>
      <c r="D6" s="125">
        <v>0</v>
      </c>
      <c r="E6" s="11"/>
      <c r="F6" s="11" t="s">
        <v>35</v>
      </c>
      <c r="G6" s="11" t="s">
        <v>2</v>
      </c>
      <c r="H6" s="11" t="s">
        <v>53</v>
      </c>
      <c r="I6" s="11" t="s">
        <v>53</v>
      </c>
      <c r="J6" s="11" t="s">
        <v>54</v>
      </c>
      <c r="K6" s="11" t="s">
        <v>55</v>
      </c>
      <c r="L6" s="11">
        <v>740</v>
      </c>
      <c r="M6" s="11">
        <v>0</v>
      </c>
      <c r="N6" s="11" t="s">
        <v>10</v>
      </c>
      <c r="O6" s="638"/>
      <c r="P6" s="636"/>
      <c r="Q6" s="630"/>
    </row>
    <row r="7" spans="1:17" ht="25.5" customHeight="1" x14ac:dyDescent="0.25">
      <c r="A7" s="16">
        <v>44475</v>
      </c>
      <c r="B7" s="17">
        <v>2010643818</v>
      </c>
      <c r="C7" s="17" t="s">
        <v>0</v>
      </c>
      <c r="D7" s="128">
        <v>94685.85</v>
      </c>
      <c r="E7" s="17" t="s">
        <v>34</v>
      </c>
      <c r="F7" s="17" t="s">
        <v>2</v>
      </c>
      <c r="G7" s="17" t="s">
        <v>57</v>
      </c>
      <c r="H7" s="17" t="s">
        <v>53</v>
      </c>
      <c r="I7" s="17" t="s">
        <v>53</v>
      </c>
      <c r="J7" s="17" t="s">
        <v>54</v>
      </c>
      <c r="K7" s="17" t="s">
        <v>55</v>
      </c>
      <c r="L7" s="17">
        <v>550</v>
      </c>
      <c r="M7" s="17">
        <v>30160</v>
      </c>
      <c r="N7" s="17" t="s">
        <v>38</v>
      </c>
      <c r="O7" s="644">
        <v>29068.555950000002</v>
      </c>
      <c r="P7" s="643">
        <f>O7/D7*100</f>
        <v>30.7</v>
      </c>
      <c r="Q7" s="628">
        <f>D7/(L7+L8)</f>
        <v>86.07804545454546</v>
      </c>
    </row>
    <row r="8" spans="1:17" ht="25.5" customHeight="1" x14ac:dyDescent="0.25">
      <c r="A8" s="16">
        <v>44476</v>
      </c>
      <c r="B8" s="17">
        <v>2816820</v>
      </c>
      <c r="C8" s="17" t="s">
        <v>9</v>
      </c>
      <c r="D8" s="128">
        <v>0</v>
      </c>
      <c r="E8" s="17"/>
      <c r="F8" s="17" t="s">
        <v>57</v>
      </c>
      <c r="G8" s="17" t="s">
        <v>2</v>
      </c>
      <c r="H8" s="17" t="s">
        <v>53</v>
      </c>
      <c r="I8" s="17" t="s">
        <v>53</v>
      </c>
      <c r="J8" s="17" t="s">
        <v>54</v>
      </c>
      <c r="K8" s="17" t="s">
        <v>55</v>
      </c>
      <c r="L8" s="17">
        <v>550</v>
      </c>
      <c r="M8" s="17">
        <v>0</v>
      </c>
      <c r="N8" s="17" t="s">
        <v>10</v>
      </c>
      <c r="O8" s="645"/>
      <c r="P8" s="643"/>
      <c r="Q8" s="628"/>
    </row>
    <row r="9" spans="1:17" ht="25.5" customHeight="1" x14ac:dyDescent="0.25">
      <c r="A9" s="12">
        <v>44480</v>
      </c>
      <c r="B9" s="13">
        <v>2010662539</v>
      </c>
      <c r="C9" s="13" t="s">
        <v>0</v>
      </c>
      <c r="D9" s="127">
        <v>81985.820000000007</v>
      </c>
      <c r="E9" s="13" t="s">
        <v>36</v>
      </c>
      <c r="F9" s="13" t="s">
        <v>2</v>
      </c>
      <c r="G9" s="13" t="s">
        <v>58</v>
      </c>
      <c r="H9" s="13" t="s">
        <v>53</v>
      </c>
      <c r="I9" s="13" t="s">
        <v>53</v>
      </c>
      <c r="J9" s="13" t="s">
        <v>54</v>
      </c>
      <c r="K9" s="13" t="s">
        <v>55</v>
      </c>
      <c r="L9" s="13">
        <v>460</v>
      </c>
      <c r="M9" s="13">
        <v>28220</v>
      </c>
      <c r="N9" s="13" t="s">
        <v>38</v>
      </c>
      <c r="O9" s="640">
        <v>25169.64674</v>
      </c>
      <c r="P9" s="639">
        <f>O9/D9*100</f>
        <v>30.7</v>
      </c>
      <c r="Q9" s="634">
        <f>D9/(L9+L10)</f>
        <v>89.115021739130441</v>
      </c>
    </row>
    <row r="10" spans="1:17" ht="25.5" customHeight="1" x14ac:dyDescent="0.25">
      <c r="A10" s="12">
        <v>44482</v>
      </c>
      <c r="B10" s="13">
        <v>2816797</v>
      </c>
      <c r="C10" s="13" t="s">
        <v>9</v>
      </c>
      <c r="D10" s="127">
        <v>0</v>
      </c>
      <c r="E10" s="13"/>
      <c r="F10" s="13" t="s">
        <v>58</v>
      </c>
      <c r="G10" s="13" t="s">
        <v>2</v>
      </c>
      <c r="H10" s="13" t="s">
        <v>53</v>
      </c>
      <c r="I10" s="13" t="s">
        <v>53</v>
      </c>
      <c r="J10" s="13" t="s">
        <v>54</v>
      </c>
      <c r="K10" s="13" t="s">
        <v>55</v>
      </c>
      <c r="L10" s="13">
        <v>460</v>
      </c>
      <c r="M10" s="13">
        <v>0</v>
      </c>
      <c r="N10" s="13" t="s">
        <v>10</v>
      </c>
      <c r="O10" s="642"/>
      <c r="P10" s="639"/>
      <c r="Q10" s="634"/>
    </row>
    <row r="11" spans="1:17" ht="25.5" customHeight="1" x14ac:dyDescent="0.25">
      <c r="A11" s="14">
        <v>44483</v>
      </c>
      <c r="B11" s="15">
        <v>2010656331</v>
      </c>
      <c r="C11" s="15" t="s">
        <v>0</v>
      </c>
      <c r="D11" s="129">
        <v>149057.13</v>
      </c>
      <c r="E11" s="15" t="s">
        <v>59</v>
      </c>
      <c r="F11" s="15" t="s">
        <v>2</v>
      </c>
      <c r="G11" s="15" t="s">
        <v>42</v>
      </c>
      <c r="H11" s="15" t="s">
        <v>53</v>
      </c>
      <c r="I11" s="15" t="s">
        <v>53</v>
      </c>
      <c r="J11" s="15" t="s">
        <v>54</v>
      </c>
      <c r="K11" s="15" t="s">
        <v>55</v>
      </c>
      <c r="L11" s="15">
        <v>879</v>
      </c>
      <c r="M11" s="15">
        <v>30300</v>
      </c>
      <c r="N11" s="15" t="s">
        <v>8</v>
      </c>
      <c r="O11" s="647">
        <v>45760.538910000003</v>
      </c>
      <c r="P11" s="646">
        <f>O11/D11*100</f>
        <v>30.7</v>
      </c>
      <c r="Q11" s="632">
        <f>D11/(L11+L12)</f>
        <v>84.787901023890782</v>
      </c>
    </row>
    <row r="12" spans="1:17" ht="25.5" customHeight="1" x14ac:dyDescent="0.25">
      <c r="A12" s="14">
        <v>44484</v>
      </c>
      <c r="B12" s="15">
        <v>2816776</v>
      </c>
      <c r="C12" s="15" t="s">
        <v>9</v>
      </c>
      <c r="D12" s="129">
        <v>0</v>
      </c>
      <c r="E12" s="15"/>
      <c r="F12" s="15" t="s">
        <v>42</v>
      </c>
      <c r="G12" s="15" t="s">
        <v>2</v>
      </c>
      <c r="H12" s="15" t="s">
        <v>53</v>
      </c>
      <c r="I12" s="15" t="s">
        <v>53</v>
      </c>
      <c r="J12" s="15" t="s">
        <v>54</v>
      </c>
      <c r="K12" s="15" t="s">
        <v>55</v>
      </c>
      <c r="L12" s="15">
        <v>879</v>
      </c>
      <c r="M12" s="15">
        <v>0</v>
      </c>
      <c r="N12" s="15" t="s">
        <v>10</v>
      </c>
      <c r="O12" s="648"/>
      <c r="P12" s="646"/>
      <c r="Q12" s="632"/>
    </row>
    <row r="13" spans="1:17" ht="25.5" customHeight="1" x14ac:dyDescent="0.25">
      <c r="A13" s="10">
        <v>44486</v>
      </c>
      <c r="B13" s="11">
        <v>2010694167</v>
      </c>
      <c r="C13" s="11" t="s">
        <v>0</v>
      </c>
      <c r="D13" s="125">
        <v>125108.71</v>
      </c>
      <c r="E13" s="11" t="s">
        <v>41</v>
      </c>
      <c r="F13" s="11" t="s">
        <v>2</v>
      </c>
      <c r="G13" s="11" t="s">
        <v>12</v>
      </c>
      <c r="H13" s="11" t="s">
        <v>53</v>
      </c>
      <c r="I13" s="11" t="s">
        <v>53</v>
      </c>
      <c r="J13" s="11" t="s">
        <v>54</v>
      </c>
      <c r="K13" s="11" t="s">
        <v>55</v>
      </c>
      <c r="L13" s="11">
        <v>740</v>
      </c>
      <c r="M13" s="11">
        <v>30270</v>
      </c>
      <c r="N13" s="11" t="s">
        <v>8</v>
      </c>
      <c r="O13" s="637">
        <v>38408.373970000001</v>
      </c>
      <c r="P13" s="636">
        <f>O13/D13*100</f>
        <v>30.7</v>
      </c>
      <c r="Q13" s="630">
        <f>D13/(L13+L14)</f>
        <v>84.532912162162162</v>
      </c>
    </row>
    <row r="14" spans="1:17" ht="25.5" customHeight="1" x14ac:dyDescent="0.25">
      <c r="A14" s="10">
        <v>44487</v>
      </c>
      <c r="B14" s="11">
        <v>2816768</v>
      </c>
      <c r="C14" s="11" t="s">
        <v>9</v>
      </c>
      <c r="D14" s="125">
        <v>0</v>
      </c>
      <c r="E14" s="11"/>
      <c r="F14" s="11" t="s">
        <v>12</v>
      </c>
      <c r="G14" s="11" t="s">
        <v>2</v>
      </c>
      <c r="H14" s="11" t="s">
        <v>53</v>
      </c>
      <c r="I14" s="11" t="s">
        <v>53</v>
      </c>
      <c r="J14" s="11" t="s">
        <v>54</v>
      </c>
      <c r="K14" s="11" t="s">
        <v>55</v>
      </c>
      <c r="L14" s="11">
        <v>740</v>
      </c>
      <c r="M14" s="11">
        <v>0</v>
      </c>
      <c r="N14" s="11" t="s">
        <v>10</v>
      </c>
      <c r="O14" s="638"/>
      <c r="P14" s="636"/>
      <c r="Q14" s="630"/>
    </row>
    <row r="15" spans="1:17" ht="25.5" customHeight="1" x14ac:dyDescent="0.25">
      <c r="A15" s="16">
        <v>44488</v>
      </c>
      <c r="B15" s="17">
        <v>2010694774</v>
      </c>
      <c r="C15" s="17" t="s">
        <v>0</v>
      </c>
      <c r="D15" s="128">
        <v>125108.71</v>
      </c>
      <c r="E15" s="17" t="s">
        <v>60</v>
      </c>
      <c r="F15" s="17" t="s">
        <v>2</v>
      </c>
      <c r="G15" s="17" t="s">
        <v>3</v>
      </c>
      <c r="H15" s="17" t="s">
        <v>53</v>
      </c>
      <c r="I15" s="17" t="s">
        <v>53</v>
      </c>
      <c r="J15" s="17" t="s">
        <v>54</v>
      </c>
      <c r="K15" s="17" t="s">
        <v>55</v>
      </c>
      <c r="L15" s="17">
        <v>740</v>
      </c>
      <c r="M15" s="17">
        <v>29890</v>
      </c>
      <c r="N15" s="17" t="s">
        <v>8</v>
      </c>
      <c r="O15" s="644">
        <v>38408.373970000001</v>
      </c>
      <c r="P15" s="643">
        <f>O15/D15*100</f>
        <v>30.7</v>
      </c>
      <c r="Q15" s="628">
        <f>D15/(L15+L16)</f>
        <v>84.532912162162162</v>
      </c>
    </row>
    <row r="16" spans="1:17" ht="25.5" customHeight="1" x14ac:dyDescent="0.25">
      <c r="A16" s="16">
        <v>44489</v>
      </c>
      <c r="B16" s="17">
        <v>2816754</v>
      </c>
      <c r="C16" s="17" t="s">
        <v>9</v>
      </c>
      <c r="D16" s="128">
        <v>0</v>
      </c>
      <c r="E16" s="17"/>
      <c r="F16" s="17" t="s">
        <v>3</v>
      </c>
      <c r="G16" s="17" t="s">
        <v>2</v>
      </c>
      <c r="H16" s="17" t="s">
        <v>53</v>
      </c>
      <c r="I16" s="17" t="s">
        <v>53</v>
      </c>
      <c r="J16" s="17" t="s">
        <v>54</v>
      </c>
      <c r="K16" s="17" t="s">
        <v>55</v>
      </c>
      <c r="L16" s="17">
        <v>740</v>
      </c>
      <c r="M16" s="17">
        <v>0</v>
      </c>
      <c r="N16" s="17" t="s">
        <v>10</v>
      </c>
      <c r="O16" s="645"/>
      <c r="P16" s="643"/>
      <c r="Q16" s="628"/>
    </row>
    <row r="17" spans="1:17" ht="25.5" customHeight="1" x14ac:dyDescent="0.25">
      <c r="A17" s="12">
        <v>44490</v>
      </c>
      <c r="B17" s="13">
        <v>2010690423</v>
      </c>
      <c r="C17" s="13" t="s">
        <v>0</v>
      </c>
      <c r="D17" s="127">
        <v>63271.58</v>
      </c>
      <c r="E17" s="13" t="s">
        <v>60</v>
      </c>
      <c r="F17" s="13" t="s">
        <v>2</v>
      </c>
      <c r="G17" s="13" t="s">
        <v>61</v>
      </c>
      <c r="H17" s="13" t="s">
        <v>53</v>
      </c>
      <c r="I17" s="13" t="s">
        <v>53</v>
      </c>
      <c r="J17" s="13" t="s">
        <v>54</v>
      </c>
      <c r="K17" s="13" t="s">
        <v>55</v>
      </c>
      <c r="L17" s="13">
        <v>352</v>
      </c>
      <c r="M17" s="13">
        <v>29870</v>
      </c>
      <c r="N17" s="13" t="s">
        <v>8</v>
      </c>
      <c r="O17" s="640">
        <v>19424.375059999998</v>
      </c>
      <c r="P17" s="639">
        <f>O17/D17*100</f>
        <v>30.7</v>
      </c>
      <c r="Q17" s="634">
        <f>D17/(L17+L18)</f>
        <v>89.874403409090917</v>
      </c>
    </row>
    <row r="18" spans="1:17" ht="25.5" customHeight="1" x14ac:dyDescent="0.25">
      <c r="A18" s="12">
        <v>44491</v>
      </c>
      <c r="B18" s="13">
        <v>2816736</v>
      </c>
      <c r="C18" s="13" t="s">
        <v>9</v>
      </c>
      <c r="D18" s="127">
        <v>0</v>
      </c>
      <c r="E18" s="13"/>
      <c r="F18" s="13" t="s">
        <v>61</v>
      </c>
      <c r="G18" s="13" t="s">
        <v>2</v>
      </c>
      <c r="H18" s="13" t="s">
        <v>53</v>
      </c>
      <c r="I18" s="13" t="s">
        <v>53</v>
      </c>
      <c r="J18" s="13" t="s">
        <v>54</v>
      </c>
      <c r="K18" s="13" t="s">
        <v>55</v>
      </c>
      <c r="L18" s="13">
        <v>352</v>
      </c>
      <c r="M18" s="13">
        <v>0</v>
      </c>
      <c r="N18" s="13" t="s">
        <v>10</v>
      </c>
      <c r="O18" s="642"/>
      <c r="P18" s="639"/>
      <c r="Q18" s="634"/>
    </row>
    <row r="19" spans="1:17" ht="25.5" customHeight="1" x14ac:dyDescent="0.25">
      <c r="A19" s="14">
        <v>44493</v>
      </c>
      <c r="B19" s="15">
        <v>2010721176</v>
      </c>
      <c r="C19" s="15" t="s">
        <v>0</v>
      </c>
      <c r="D19" s="129">
        <v>149057.13</v>
      </c>
      <c r="E19" s="15" t="s">
        <v>1</v>
      </c>
      <c r="F19" s="15" t="s">
        <v>2</v>
      </c>
      <c r="G19" s="15" t="s">
        <v>42</v>
      </c>
      <c r="H19" s="15" t="s">
        <v>53</v>
      </c>
      <c r="I19" s="15" t="s">
        <v>53</v>
      </c>
      <c r="J19" s="15" t="s">
        <v>54</v>
      </c>
      <c r="K19" s="15" t="s">
        <v>55</v>
      </c>
      <c r="L19" s="15">
        <v>879</v>
      </c>
      <c r="M19" s="15">
        <v>30100</v>
      </c>
      <c r="N19" s="15" t="s">
        <v>8</v>
      </c>
      <c r="O19" s="647">
        <v>45760.538910000003</v>
      </c>
      <c r="P19" s="646">
        <f>O19/D19*100</f>
        <v>30.7</v>
      </c>
      <c r="Q19" s="632">
        <f>D19/(L19+L20)</f>
        <v>84.787901023890782</v>
      </c>
    </row>
    <row r="20" spans="1:17" ht="25.5" customHeight="1" x14ac:dyDescent="0.25">
      <c r="A20" s="14">
        <v>44494</v>
      </c>
      <c r="B20" s="15">
        <v>2816727</v>
      </c>
      <c r="C20" s="15" t="s">
        <v>9</v>
      </c>
      <c r="D20" s="129">
        <v>0</v>
      </c>
      <c r="E20" s="15"/>
      <c r="F20" s="15" t="s">
        <v>42</v>
      </c>
      <c r="G20" s="15" t="s">
        <v>2</v>
      </c>
      <c r="H20" s="15" t="s">
        <v>53</v>
      </c>
      <c r="I20" s="15" t="s">
        <v>53</v>
      </c>
      <c r="J20" s="15" t="s">
        <v>54</v>
      </c>
      <c r="K20" s="15" t="s">
        <v>55</v>
      </c>
      <c r="L20" s="15">
        <v>879</v>
      </c>
      <c r="M20" s="15">
        <v>0</v>
      </c>
      <c r="N20" s="15" t="s">
        <v>10</v>
      </c>
      <c r="O20" s="648"/>
      <c r="P20" s="646"/>
      <c r="Q20" s="632"/>
    </row>
    <row r="21" spans="1:17" ht="25.5" customHeight="1" x14ac:dyDescent="0.25">
      <c r="A21" s="10">
        <v>44497</v>
      </c>
      <c r="B21" s="11">
        <v>2010718134</v>
      </c>
      <c r="C21" s="11" t="s">
        <v>0</v>
      </c>
      <c r="D21" s="125">
        <v>125108.71</v>
      </c>
      <c r="E21" s="11" t="s">
        <v>44</v>
      </c>
      <c r="F21" s="11" t="s">
        <v>2</v>
      </c>
      <c r="G21" s="11" t="s">
        <v>62</v>
      </c>
      <c r="H21" s="11" t="s">
        <v>53</v>
      </c>
      <c r="I21" s="11" t="s">
        <v>53</v>
      </c>
      <c r="J21" s="11" t="s">
        <v>54</v>
      </c>
      <c r="K21" s="11" t="s">
        <v>55</v>
      </c>
      <c r="L21" s="11">
        <v>740</v>
      </c>
      <c r="M21" s="11">
        <v>30220</v>
      </c>
      <c r="N21" s="11" t="s">
        <v>38</v>
      </c>
      <c r="O21" s="637">
        <v>38408.373970000001</v>
      </c>
      <c r="P21" s="636">
        <f>O21/D21*100</f>
        <v>30.7</v>
      </c>
      <c r="Q21" s="630">
        <f>D21/(L21+L22)</f>
        <v>84.532912162162162</v>
      </c>
    </row>
    <row r="22" spans="1:17" ht="25.5" customHeight="1" x14ac:dyDescent="0.25">
      <c r="A22" s="10">
        <v>44498</v>
      </c>
      <c r="B22" s="11">
        <v>2816703</v>
      </c>
      <c r="C22" s="11" t="s">
        <v>9</v>
      </c>
      <c r="D22" s="125">
        <v>0</v>
      </c>
      <c r="E22" s="11"/>
      <c r="F22" s="11" t="s">
        <v>62</v>
      </c>
      <c r="G22" s="11" t="s">
        <v>2</v>
      </c>
      <c r="H22" s="11" t="s">
        <v>53</v>
      </c>
      <c r="I22" s="11" t="s">
        <v>53</v>
      </c>
      <c r="J22" s="11" t="s">
        <v>54</v>
      </c>
      <c r="K22" s="11" t="s">
        <v>55</v>
      </c>
      <c r="L22" s="11">
        <v>740</v>
      </c>
      <c r="M22" s="11">
        <v>0</v>
      </c>
      <c r="N22" s="11" t="s">
        <v>10</v>
      </c>
      <c r="O22" s="638"/>
      <c r="P22" s="636"/>
      <c r="Q22" s="630"/>
    </row>
    <row r="23" spans="1:17" ht="25.5" customHeight="1" x14ac:dyDescent="0.25">
      <c r="A23" s="6">
        <v>44500</v>
      </c>
      <c r="B23" s="7">
        <v>2010746645</v>
      </c>
      <c r="C23" s="7" t="s">
        <v>0</v>
      </c>
      <c r="D23" s="8">
        <v>125108.71</v>
      </c>
      <c r="E23" s="7" t="s">
        <v>11</v>
      </c>
      <c r="F23" s="7" t="s">
        <v>2</v>
      </c>
      <c r="G23" s="7" t="s">
        <v>3</v>
      </c>
      <c r="H23" s="7" t="s">
        <v>53</v>
      </c>
      <c r="I23" s="7" t="s">
        <v>53</v>
      </c>
      <c r="J23" s="7" t="s">
        <v>54</v>
      </c>
      <c r="K23" s="7" t="s">
        <v>55</v>
      </c>
      <c r="L23" s="7">
        <v>740</v>
      </c>
      <c r="M23" s="7">
        <v>29920</v>
      </c>
      <c r="N23" s="7" t="s">
        <v>8</v>
      </c>
      <c r="O23" s="8">
        <v>38408.373970000001</v>
      </c>
      <c r="P23" s="28">
        <f>O23/D23*100</f>
        <v>30.7</v>
      </c>
      <c r="Q23" s="24">
        <f>D23/L23</f>
        <v>169.06582432432432</v>
      </c>
    </row>
    <row r="24" spans="1:17" x14ac:dyDescent="0.25">
      <c r="A24" s="9"/>
      <c r="B24" s="9"/>
      <c r="C24" s="9"/>
      <c r="D24" s="18">
        <f>SUM(D4:D23)</f>
        <v>1163601.0599999998</v>
      </c>
      <c r="E24" s="9"/>
      <c r="F24" s="9"/>
      <c r="G24" s="9"/>
      <c r="H24" s="9"/>
      <c r="I24" s="9"/>
      <c r="J24" s="9"/>
      <c r="K24" s="9"/>
      <c r="L24" s="9">
        <f>SUM(L4:L23)</f>
        <v>13640</v>
      </c>
      <c r="M24" s="9"/>
      <c r="N24" s="9"/>
      <c r="O24" s="24">
        <f>SUM(O4:O23)</f>
        <v>357225.52542000002</v>
      </c>
      <c r="P24" s="28">
        <f>O24/D24*100</f>
        <v>30.700000000000006</v>
      </c>
      <c r="Q24" s="26">
        <f>D24/L24</f>
        <v>85.307995601173005</v>
      </c>
    </row>
    <row r="26" spans="1:17" x14ac:dyDescent="0.25">
      <c r="A26" s="99" t="s">
        <v>322</v>
      </c>
      <c r="B26" s="100" t="s">
        <v>328</v>
      </c>
      <c r="C26" s="101"/>
      <c r="D26" s="102"/>
    </row>
    <row r="27" spans="1:17" x14ac:dyDescent="0.25">
      <c r="A27" s="103">
        <f>D24/L24</f>
        <v>85.307995601173005</v>
      </c>
      <c r="B27" s="9"/>
      <c r="C27" s="104"/>
      <c r="D27" s="105"/>
    </row>
    <row r="28" spans="1:17" x14ac:dyDescent="0.25">
      <c r="D28" s="25"/>
    </row>
    <row r="29" spans="1:17" x14ac:dyDescent="0.25">
      <c r="A29" s="36"/>
      <c r="B29" s="36" t="s">
        <v>329</v>
      </c>
      <c r="C29" s="36" t="s">
        <v>330</v>
      </c>
      <c r="D29" s="106" t="s">
        <v>55</v>
      </c>
    </row>
    <row r="30" spans="1:17" x14ac:dyDescent="0.25">
      <c r="A30" s="7" t="s">
        <v>331</v>
      </c>
      <c r="B30" s="42">
        <f>D24</f>
        <v>1163601.0599999998</v>
      </c>
      <c r="C30" s="45">
        <f>B31</f>
        <v>357225.52542000002</v>
      </c>
      <c r="D30" s="46">
        <f>C30/B30</f>
        <v>0.30700000000000005</v>
      </c>
    </row>
    <row r="31" spans="1:17" x14ac:dyDescent="0.25">
      <c r="A31" s="47" t="s">
        <v>27</v>
      </c>
      <c r="B31" s="24">
        <f>O24</f>
        <v>357225.52542000002</v>
      </c>
      <c r="C31" s="9"/>
      <c r="D31" s="25"/>
    </row>
    <row r="32" spans="1:17" x14ac:dyDescent="0.25">
      <c r="A32" s="48" t="s">
        <v>332</v>
      </c>
      <c r="B32" s="107"/>
      <c r="C32" s="49">
        <f>(12*(78578.313+12454.55))/(150000+80000)*L24</f>
        <v>64783.734851478257</v>
      </c>
      <c r="D32" s="25"/>
    </row>
    <row r="33" spans="1:4" x14ac:dyDescent="0.25">
      <c r="A33" s="48" t="s">
        <v>335</v>
      </c>
      <c r="B33" s="107"/>
      <c r="C33" s="42">
        <f>'PATENTE PROVINCIAL'!N76</f>
        <v>1183.5</v>
      </c>
      <c r="D33" s="25"/>
    </row>
    <row r="34" spans="1:4" x14ac:dyDescent="0.25">
      <c r="A34" s="48" t="s">
        <v>336</v>
      </c>
      <c r="B34" s="107"/>
      <c r="C34" s="42">
        <f>'PATENTE MUNICIPAL'!I83</f>
        <v>1655.8966666666665</v>
      </c>
      <c r="D34" s="25"/>
    </row>
    <row r="35" spans="1:4" x14ac:dyDescent="0.25">
      <c r="A35" s="48" t="s">
        <v>337</v>
      </c>
      <c r="B35" s="107"/>
      <c r="C35" s="42">
        <f>SEGURO!K87</f>
        <v>261.09831688804553</v>
      </c>
      <c r="D35" s="25"/>
    </row>
    <row r="36" spans="1:4" x14ac:dyDescent="0.25">
      <c r="A36" s="48" t="s">
        <v>339</v>
      </c>
      <c r="B36" s="107"/>
      <c r="C36" s="42"/>
      <c r="D36" s="25"/>
    </row>
    <row r="37" spans="1:4" x14ac:dyDescent="0.25">
      <c r="A37" s="48" t="s">
        <v>340</v>
      </c>
      <c r="B37" s="107"/>
      <c r="C37" s="51">
        <f>SUM(C32:C36)</f>
        <v>67884.229835032966</v>
      </c>
      <c r="D37" s="25"/>
    </row>
    <row r="38" spans="1:4" x14ac:dyDescent="0.25">
      <c r="A38" s="36" t="s">
        <v>341</v>
      </c>
      <c r="B38" s="107"/>
      <c r="C38" s="53">
        <f>C30-C31-C37</f>
        <v>289341.29558496707</v>
      </c>
      <c r="D38" s="106">
        <f>+B38+C38</f>
        <v>289341.29558496707</v>
      </c>
    </row>
  </sheetData>
  <sortState xmlns:xlrd2="http://schemas.microsoft.com/office/spreadsheetml/2017/richdata2" ref="A2:P22">
    <sortCondition ref="A1"/>
  </sortState>
  <mergeCells count="28"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  <mergeCell ref="Q13:Q14"/>
    <mergeCell ref="P13:P14"/>
    <mergeCell ref="O13:O14"/>
    <mergeCell ref="Q11:Q12"/>
    <mergeCell ref="P11:P12"/>
    <mergeCell ref="O11:O12"/>
    <mergeCell ref="Q17:Q18"/>
    <mergeCell ref="P17:P18"/>
    <mergeCell ref="O17:O18"/>
    <mergeCell ref="Q15:Q16"/>
    <mergeCell ref="P15:P16"/>
    <mergeCell ref="O15:O16"/>
    <mergeCell ref="Q21:Q22"/>
    <mergeCell ref="P21:P22"/>
    <mergeCell ref="O21:O22"/>
    <mergeCell ref="Q19:Q20"/>
    <mergeCell ref="P19:P20"/>
    <mergeCell ref="O19:O20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B050"/>
  </sheetPr>
  <dimension ref="A1:Q35"/>
  <sheetViews>
    <sheetView topLeftCell="A19" zoomScaleNormal="100" workbookViewId="0">
      <selection activeCell="C34" sqref="C34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2.42578125" style="2" bestFit="1" customWidth="1"/>
    <col min="8" max="8" width="24.140625" style="2" bestFit="1" customWidth="1"/>
    <col min="9" max="9" width="27.28515625" style="2" bestFit="1" customWidth="1"/>
    <col min="10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7" t="s">
        <v>372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2010629965</v>
      </c>
      <c r="C4" s="11" t="s">
        <v>0</v>
      </c>
      <c r="D4" s="125">
        <v>78421.34</v>
      </c>
      <c r="E4" s="11" t="s">
        <v>56</v>
      </c>
      <c r="F4" s="11" t="s">
        <v>2</v>
      </c>
      <c r="G4" s="11" t="s">
        <v>138</v>
      </c>
      <c r="H4" s="11" t="s">
        <v>152</v>
      </c>
      <c r="I4" s="11" t="s">
        <v>153</v>
      </c>
      <c r="J4" s="11" t="s">
        <v>154</v>
      </c>
      <c r="K4" s="11" t="s">
        <v>155</v>
      </c>
      <c r="L4" s="11">
        <v>440</v>
      </c>
      <c r="M4" s="11">
        <v>29640</v>
      </c>
      <c r="N4" s="11" t="s">
        <v>8</v>
      </c>
      <c r="O4" s="637">
        <v>24075.35138</v>
      </c>
      <c r="P4" s="631">
        <f>O4/D4*100</f>
        <v>30.7</v>
      </c>
      <c r="Q4" s="630">
        <f>D4/(L4+L5)</f>
        <v>89.115159090909088</v>
      </c>
    </row>
    <row r="5" spans="1:17" ht="25.5" customHeight="1" x14ac:dyDescent="0.25">
      <c r="A5" s="10">
        <v>44471</v>
      </c>
      <c r="B5" s="11">
        <v>2816844</v>
      </c>
      <c r="C5" s="11" t="s">
        <v>9</v>
      </c>
      <c r="D5" s="125">
        <v>0</v>
      </c>
      <c r="E5" s="11"/>
      <c r="F5" s="11" t="s">
        <v>138</v>
      </c>
      <c r="G5" s="11" t="s">
        <v>2</v>
      </c>
      <c r="H5" s="11" t="s">
        <v>152</v>
      </c>
      <c r="I5" s="11" t="s">
        <v>153</v>
      </c>
      <c r="J5" s="11" t="s">
        <v>154</v>
      </c>
      <c r="K5" s="11" t="s">
        <v>155</v>
      </c>
      <c r="L5" s="11">
        <v>440</v>
      </c>
      <c r="M5" s="11">
        <v>0</v>
      </c>
      <c r="N5" s="11" t="s">
        <v>10</v>
      </c>
      <c r="O5" s="638"/>
      <c r="P5" s="631"/>
      <c r="Q5" s="630"/>
    </row>
    <row r="6" spans="1:17" ht="25.5" customHeight="1" x14ac:dyDescent="0.25">
      <c r="A6" s="16">
        <v>44473</v>
      </c>
      <c r="B6" s="17">
        <v>2010637812</v>
      </c>
      <c r="C6" s="17" t="s">
        <v>0</v>
      </c>
      <c r="D6" s="128">
        <v>125108.71</v>
      </c>
      <c r="E6" s="17" t="s">
        <v>56</v>
      </c>
      <c r="F6" s="17" t="s">
        <v>2</v>
      </c>
      <c r="G6" s="17" t="s">
        <v>12</v>
      </c>
      <c r="H6" s="17" t="s">
        <v>152</v>
      </c>
      <c r="I6" s="17" t="s">
        <v>153</v>
      </c>
      <c r="J6" s="17" t="s">
        <v>154</v>
      </c>
      <c r="K6" s="17" t="s">
        <v>155</v>
      </c>
      <c r="L6" s="17">
        <v>740</v>
      </c>
      <c r="M6" s="17">
        <v>29600</v>
      </c>
      <c r="N6" s="17" t="s">
        <v>8</v>
      </c>
      <c r="O6" s="644">
        <v>38408.373970000001</v>
      </c>
      <c r="P6" s="629">
        <f>O6/D6*100</f>
        <v>30.7</v>
      </c>
      <c r="Q6" s="628">
        <f>D6/(L6+L7)</f>
        <v>84.532912162162162</v>
      </c>
    </row>
    <row r="7" spans="1:17" ht="25.5" customHeight="1" x14ac:dyDescent="0.25">
      <c r="A7" s="16">
        <v>44474</v>
      </c>
      <c r="B7" s="17">
        <v>2816831</v>
      </c>
      <c r="C7" s="17" t="s">
        <v>9</v>
      </c>
      <c r="D7" s="128">
        <v>0</v>
      </c>
      <c r="E7" s="17"/>
      <c r="F7" s="17" t="s">
        <v>12</v>
      </c>
      <c r="G7" s="17" t="s">
        <v>2</v>
      </c>
      <c r="H7" s="17" t="s">
        <v>152</v>
      </c>
      <c r="I7" s="17" t="s">
        <v>153</v>
      </c>
      <c r="J7" s="17" t="s">
        <v>154</v>
      </c>
      <c r="K7" s="17" t="s">
        <v>155</v>
      </c>
      <c r="L7" s="17">
        <v>740</v>
      </c>
      <c r="M7" s="17">
        <v>0</v>
      </c>
      <c r="N7" s="17" t="s">
        <v>10</v>
      </c>
      <c r="O7" s="645"/>
      <c r="P7" s="629"/>
      <c r="Q7" s="628"/>
    </row>
    <row r="8" spans="1:17" ht="25.5" customHeight="1" x14ac:dyDescent="0.25">
      <c r="A8" s="12">
        <v>44476</v>
      </c>
      <c r="B8" s="13">
        <v>2010637527</v>
      </c>
      <c r="C8" s="13" t="s">
        <v>0</v>
      </c>
      <c r="D8" s="127">
        <v>63271.58</v>
      </c>
      <c r="E8" s="13" t="s">
        <v>34</v>
      </c>
      <c r="F8" s="13" t="s">
        <v>2</v>
      </c>
      <c r="G8" s="13" t="s">
        <v>61</v>
      </c>
      <c r="H8" s="13" t="s">
        <v>152</v>
      </c>
      <c r="I8" s="13" t="s">
        <v>153</v>
      </c>
      <c r="J8" s="13" t="s">
        <v>154</v>
      </c>
      <c r="K8" s="13" t="s">
        <v>155</v>
      </c>
      <c r="L8" s="13">
        <v>352</v>
      </c>
      <c r="M8" s="13">
        <v>29470</v>
      </c>
      <c r="N8" s="13" t="s">
        <v>110</v>
      </c>
      <c r="O8" s="640">
        <v>19424.375059999998</v>
      </c>
      <c r="P8" s="635">
        <f>O8/D8*100</f>
        <v>30.7</v>
      </c>
      <c r="Q8" s="634">
        <f>D8/(L8+L9)</f>
        <v>89.874403409090917</v>
      </c>
    </row>
    <row r="9" spans="1:17" ht="25.5" customHeight="1" x14ac:dyDescent="0.25">
      <c r="A9" s="12">
        <v>44477</v>
      </c>
      <c r="B9" s="13">
        <v>2816816</v>
      </c>
      <c r="C9" s="13" t="s">
        <v>9</v>
      </c>
      <c r="D9" s="127">
        <v>0</v>
      </c>
      <c r="E9" s="13"/>
      <c r="F9" s="13" t="s">
        <v>61</v>
      </c>
      <c r="G9" s="13" t="s">
        <v>2</v>
      </c>
      <c r="H9" s="13" t="s">
        <v>152</v>
      </c>
      <c r="I9" s="13" t="s">
        <v>153</v>
      </c>
      <c r="J9" s="13" t="s">
        <v>154</v>
      </c>
      <c r="K9" s="13" t="s">
        <v>155</v>
      </c>
      <c r="L9" s="13">
        <v>352</v>
      </c>
      <c r="M9" s="13">
        <v>0</v>
      </c>
      <c r="N9" s="13" t="s">
        <v>10</v>
      </c>
      <c r="O9" s="642"/>
      <c r="P9" s="635"/>
      <c r="Q9" s="634"/>
    </row>
    <row r="10" spans="1:17" ht="25.5" customHeight="1" x14ac:dyDescent="0.25">
      <c r="A10" s="14">
        <v>44480</v>
      </c>
      <c r="B10" s="15">
        <v>2010663567</v>
      </c>
      <c r="C10" s="15" t="s">
        <v>0</v>
      </c>
      <c r="D10" s="129">
        <v>125108.71</v>
      </c>
      <c r="E10" s="15" t="s">
        <v>36</v>
      </c>
      <c r="F10" s="15" t="s">
        <v>2</v>
      </c>
      <c r="G10" s="15" t="s">
        <v>3</v>
      </c>
      <c r="H10" s="15" t="s">
        <v>152</v>
      </c>
      <c r="I10" s="15" t="s">
        <v>153</v>
      </c>
      <c r="J10" s="15" t="s">
        <v>154</v>
      </c>
      <c r="K10" s="15" t="s">
        <v>155</v>
      </c>
      <c r="L10" s="15">
        <v>740</v>
      </c>
      <c r="M10" s="15">
        <v>29630</v>
      </c>
      <c r="N10" s="15" t="s">
        <v>8</v>
      </c>
      <c r="O10" s="647">
        <v>41519.61</v>
      </c>
      <c r="P10" s="633">
        <f>O10/(D10+D11)*100</f>
        <v>30.69999757473656</v>
      </c>
      <c r="Q10" s="632">
        <f>(D10+D11)/(L10+L11+L12)</f>
        <v>91.380432432432443</v>
      </c>
    </row>
    <row r="11" spans="1:17" ht="25.5" customHeight="1" x14ac:dyDescent="0.25">
      <c r="A11" s="14">
        <v>44480</v>
      </c>
      <c r="B11" s="15" t="s">
        <v>156</v>
      </c>
      <c r="C11" s="15" t="s">
        <v>0</v>
      </c>
      <c r="D11" s="129">
        <v>10134.33</v>
      </c>
      <c r="E11" s="15" t="s">
        <v>103</v>
      </c>
      <c r="F11" s="15" t="s">
        <v>2</v>
      </c>
      <c r="G11" s="15" t="s">
        <v>3</v>
      </c>
      <c r="H11" s="15" t="s">
        <v>152</v>
      </c>
      <c r="I11" s="15" t="s">
        <v>153</v>
      </c>
      <c r="J11" s="15" t="s">
        <v>154</v>
      </c>
      <c r="K11" s="15" t="s">
        <v>155</v>
      </c>
      <c r="L11" s="15">
        <v>0</v>
      </c>
      <c r="M11" s="15">
        <v>0</v>
      </c>
      <c r="N11" s="15" t="s">
        <v>8</v>
      </c>
      <c r="O11" s="657"/>
      <c r="P11" s="633"/>
      <c r="Q11" s="632"/>
    </row>
    <row r="12" spans="1:17" ht="25.5" customHeight="1" x14ac:dyDescent="0.25">
      <c r="A12" s="14">
        <v>44483</v>
      </c>
      <c r="B12" s="15">
        <v>2816787</v>
      </c>
      <c r="C12" s="15" t="s">
        <v>9</v>
      </c>
      <c r="D12" s="129">
        <v>0</v>
      </c>
      <c r="E12" s="15"/>
      <c r="F12" s="15" t="s">
        <v>3</v>
      </c>
      <c r="G12" s="15" t="s">
        <v>2</v>
      </c>
      <c r="H12" s="15" t="s">
        <v>152</v>
      </c>
      <c r="I12" s="15" t="s">
        <v>153</v>
      </c>
      <c r="J12" s="15" t="s">
        <v>154</v>
      </c>
      <c r="K12" s="15" t="s">
        <v>155</v>
      </c>
      <c r="L12" s="15">
        <v>740</v>
      </c>
      <c r="M12" s="15">
        <v>0</v>
      </c>
      <c r="N12" s="15" t="s">
        <v>10</v>
      </c>
      <c r="O12" s="648"/>
      <c r="P12" s="633"/>
      <c r="Q12" s="632"/>
    </row>
    <row r="13" spans="1:17" ht="25.5" customHeight="1" x14ac:dyDescent="0.25">
      <c r="A13" s="10">
        <v>44485</v>
      </c>
      <c r="B13" s="11">
        <v>2010688786</v>
      </c>
      <c r="C13" s="11" t="s">
        <v>0</v>
      </c>
      <c r="D13" s="125">
        <v>125108.71</v>
      </c>
      <c r="E13" s="11" t="s">
        <v>39</v>
      </c>
      <c r="F13" s="11" t="s">
        <v>2</v>
      </c>
      <c r="G13" s="11" t="s">
        <v>157</v>
      </c>
      <c r="H13" s="11" t="s">
        <v>152</v>
      </c>
      <c r="I13" s="11" t="s">
        <v>153</v>
      </c>
      <c r="J13" s="11" t="s">
        <v>154</v>
      </c>
      <c r="K13" s="11" t="s">
        <v>155</v>
      </c>
      <c r="L13" s="11">
        <v>740</v>
      </c>
      <c r="M13" s="11">
        <v>29600</v>
      </c>
      <c r="N13" s="11" t="s">
        <v>8</v>
      </c>
      <c r="O13" s="637">
        <v>38408.373970000001</v>
      </c>
      <c r="P13" s="631">
        <f>O13/D13*100</f>
        <v>30.7</v>
      </c>
      <c r="Q13" s="630">
        <f>D13/(L13+L14)</f>
        <v>84.532912162162162</v>
      </c>
    </row>
    <row r="14" spans="1:17" ht="25.5" customHeight="1" x14ac:dyDescent="0.25">
      <c r="A14" s="10">
        <v>44487</v>
      </c>
      <c r="B14" s="11">
        <v>2816770</v>
      </c>
      <c r="C14" s="11" t="s">
        <v>9</v>
      </c>
      <c r="D14" s="125">
        <v>0</v>
      </c>
      <c r="E14" s="11"/>
      <c r="F14" s="11" t="s">
        <v>157</v>
      </c>
      <c r="G14" s="11" t="s">
        <v>2</v>
      </c>
      <c r="H14" s="11" t="s">
        <v>152</v>
      </c>
      <c r="I14" s="11" t="s">
        <v>153</v>
      </c>
      <c r="J14" s="11" t="s">
        <v>154</v>
      </c>
      <c r="K14" s="11" t="s">
        <v>155</v>
      </c>
      <c r="L14" s="11">
        <v>740</v>
      </c>
      <c r="M14" s="11">
        <v>0</v>
      </c>
      <c r="N14" s="11" t="s">
        <v>10</v>
      </c>
      <c r="O14" s="638"/>
      <c r="P14" s="631"/>
      <c r="Q14" s="630"/>
    </row>
    <row r="15" spans="1:17" ht="25.5" customHeight="1" x14ac:dyDescent="0.25">
      <c r="A15" s="16">
        <v>44488</v>
      </c>
      <c r="B15" s="17">
        <v>2010690473</v>
      </c>
      <c r="C15" s="17" t="s">
        <v>0</v>
      </c>
      <c r="D15" s="128">
        <v>125108.71</v>
      </c>
      <c r="E15" s="17" t="s">
        <v>41</v>
      </c>
      <c r="F15" s="17" t="s">
        <v>2</v>
      </c>
      <c r="G15" s="17" t="s">
        <v>94</v>
      </c>
      <c r="H15" s="17" t="s">
        <v>152</v>
      </c>
      <c r="I15" s="17" t="s">
        <v>153</v>
      </c>
      <c r="J15" s="17" t="s">
        <v>154</v>
      </c>
      <c r="K15" s="17" t="s">
        <v>155</v>
      </c>
      <c r="L15" s="17">
        <v>740</v>
      </c>
      <c r="M15" s="17">
        <v>29630</v>
      </c>
      <c r="N15" s="17" t="s">
        <v>8</v>
      </c>
      <c r="O15" s="644">
        <v>38408.373970000001</v>
      </c>
      <c r="P15" s="629">
        <f>O15/D15*100</f>
        <v>30.7</v>
      </c>
      <c r="Q15" s="628">
        <f>D15/(L15+L16)</f>
        <v>84.532912162162162</v>
      </c>
    </row>
    <row r="16" spans="1:17" ht="25.5" customHeight="1" x14ac:dyDescent="0.25">
      <c r="A16" s="16">
        <v>44490</v>
      </c>
      <c r="B16" s="17">
        <v>2816743</v>
      </c>
      <c r="C16" s="17" t="s">
        <v>9</v>
      </c>
      <c r="D16" s="128">
        <v>0</v>
      </c>
      <c r="E16" s="17"/>
      <c r="F16" s="17" t="s">
        <v>94</v>
      </c>
      <c r="G16" s="17" t="s">
        <v>2</v>
      </c>
      <c r="H16" s="17" t="s">
        <v>152</v>
      </c>
      <c r="I16" s="17" t="s">
        <v>153</v>
      </c>
      <c r="J16" s="17" t="s">
        <v>154</v>
      </c>
      <c r="K16" s="17" t="s">
        <v>155</v>
      </c>
      <c r="L16" s="17">
        <v>740</v>
      </c>
      <c r="M16" s="17">
        <v>0</v>
      </c>
      <c r="N16" s="17" t="s">
        <v>10</v>
      </c>
      <c r="O16" s="645"/>
      <c r="P16" s="629"/>
      <c r="Q16" s="628"/>
    </row>
    <row r="17" spans="1:17" ht="25.5" customHeight="1" x14ac:dyDescent="0.25">
      <c r="A17" s="12">
        <v>44493</v>
      </c>
      <c r="B17" s="13" t="s">
        <v>158</v>
      </c>
      <c r="C17" s="13" t="s">
        <v>0</v>
      </c>
      <c r="D17" s="127">
        <v>63987.32</v>
      </c>
      <c r="E17" s="13" t="s">
        <v>1</v>
      </c>
      <c r="F17" s="13" t="s">
        <v>2</v>
      </c>
      <c r="G17" s="13" t="s">
        <v>67</v>
      </c>
      <c r="H17" s="13" t="s">
        <v>152</v>
      </c>
      <c r="I17" s="13" t="s">
        <v>153</v>
      </c>
      <c r="J17" s="13" t="s">
        <v>154</v>
      </c>
      <c r="K17" s="13" t="s">
        <v>155</v>
      </c>
      <c r="L17" s="13">
        <v>359</v>
      </c>
      <c r="M17" s="13">
        <v>29470</v>
      </c>
      <c r="N17" s="13" t="s">
        <v>38</v>
      </c>
      <c r="O17" s="640">
        <v>19644.107240000001</v>
      </c>
      <c r="P17" s="635">
        <f>O17/D17*100</f>
        <v>30.7</v>
      </c>
      <c r="Q17" s="634">
        <f>D17/(L17+L18)</f>
        <v>89.118830083565456</v>
      </c>
    </row>
    <row r="18" spans="1:17" ht="25.5" customHeight="1" x14ac:dyDescent="0.25">
      <c r="A18" s="12">
        <v>44494</v>
      </c>
      <c r="B18" s="13">
        <v>2816729</v>
      </c>
      <c r="C18" s="13" t="s">
        <v>9</v>
      </c>
      <c r="D18" s="127">
        <v>0</v>
      </c>
      <c r="E18" s="13"/>
      <c r="F18" s="13" t="s">
        <v>67</v>
      </c>
      <c r="G18" s="13" t="s">
        <v>2</v>
      </c>
      <c r="H18" s="13" t="s">
        <v>152</v>
      </c>
      <c r="I18" s="13" t="s">
        <v>153</v>
      </c>
      <c r="J18" s="13" t="s">
        <v>154</v>
      </c>
      <c r="K18" s="13" t="s">
        <v>155</v>
      </c>
      <c r="L18" s="13">
        <v>359</v>
      </c>
      <c r="M18" s="13">
        <v>0</v>
      </c>
      <c r="N18" s="13" t="s">
        <v>10</v>
      </c>
      <c r="O18" s="642"/>
      <c r="P18" s="635"/>
      <c r="Q18" s="634"/>
    </row>
    <row r="19" spans="1:17" ht="25.5" customHeight="1" x14ac:dyDescent="0.25">
      <c r="A19" s="14">
        <v>44498</v>
      </c>
      <c r="B19" s="15">
        <v>2010715476</v>
      </c>
      <c r="C19" s="15" t="s">
        <v>0</v>
      </c>
      <c r="D19" s="129">
        <v>125108.71</v>
      </c>
      <c r="E19" s="15" t="s">
        <v>44</v>
      </c>
      <c r="F19" s="15" t="s">
        <v>2</v>
      </c>
      <c r="G19" s="15" t="s">
        <v>3</v>
      </c>
      <c r="H19" s="15" t="s">
        <v>152</v>
      </c>
      <c r="I19" s="15" t="s">
        <v>153</v>
      </c>
      <c r="J19" s="15" t="s">
        <v>154</v>
      </c>
      <c r="K19" s="15" t="s">
        <v>155</v>
      </c>
      <c r="L19" s="15">
        <v>740</v>
      </c>
      <c r="M19" s="15">
        <v>29300</v>
      </c>
      <c r="N19" s="15" t="s">
        <v>8</v>
      </c>
      <c r="O19" s="647">
        <v>38408.373970000001</v>
      </c>
      <c r="P19" s="633">
        <f>O19/D19*100</f>
        <v>30.7</v>
      </c>
      <c r="Q19" s="632">
        <f>D19/(L19+L20)</f>
        <v>84.532912162162162</v>
      </c>
    </row>
    <row r="20" spans="1:17" ht="25.5" customHeight="1" x14ac:dyDescent="0.25">
      <c r="A20" s="85">
        <v>44499</v>
      </c>
      <c r="B20" s="86">
        <v>2816695</v>
      </c>
      <c r="C20" s="86" t="s">
        <v>9</v>
      </c>
      <c r="D20" s="133">
        <v>0</v>
      </c>
      <c r="E20" s="86"/>
      <c r="F20" s="86" t="s">
        <v>3</v>
      </c>
      <c r="G20" s="86" t="s">
        <v>2</v>
      </c>
      <c r="H20" s="86" t="s">
        <v>152</v>
      </c>
      <c r="I20" s="86" t="s">
        <v>153</v>
      </c>
      <c r="J20" s="86" t="s">
        <v>154</v>
      </c>
      <c r="K20" s="86" t="s">
        <v>155</v>
      </c>
      <c r="L20" s="86">
        <v>740</v>
      </c>
      <c r="M20" s="86">
        <v>0</v>
      </c>
      <c r="N20" s="86" t="s">
        <v>10</v>
      </c>
      <c r="O20" s="648"/>
      <c r="P20" s="633"/>
      <c r="Q20" s="632"/>
    </row>
    <row r="21" spans="1:17" x14ac:dyDescent="0.25">
      <c r="A21" s="9"/>
      <c r="B21" s="9"/>
      <c r="C21" s="9"/>
      <c r="D21" s="18">
        <f>SUM(D4:D20)</f>
        <v>841358.11999999988</v>
      </c>
      <c r="E21" s="9"/>
      <c r="F21" s="9"/>
      <c r="G21" s="9"/>
      <c r="H21" s="9"/>
      <c r="I21" s="9"/>
      <c r="J21" s="9"/>
      <c r="K21" s="9"/>
      <c r="L21" s="9">
        <f>SUM(L4:L20)</f>
        <v>9702</v>
      </c>
      <c r="M21" s="9"/>
      <c r="N21" s="9"/>
      <c r="O21" s="24">
        <f>SUM(O4:O20)</f>
        <v>258296.93956000003</v>
      </c>
      <c r="P21" s="64">
        <f>O21/D21*100</f>
        <v>30.699999610154123</v>
      </c>
      <c r="Q21" s="26">
        <f>D21/L21</f>
        <v>86.720070088641506</v>
      </c>
    </row>
    <row r="23" spans="1:17" x14ac:dyDescent="0.25">
      <c r="A23" s="99" t="s">
        <v>322</v>
      </c>
      <c r="B23" s="100" t="s">
        <v>328</v>
      </c>
      <c r="C23" s="101"/>
      <c r="D23" s="102"/>
    </row>
    <row r="24" spans="1:17" x14ac:dyDescent="0.25">
      <c r="A24" s="103">
        <f>D21/L21</f>
        <v>86.720070088641506</v>
      </c>
      <c r="B24" s="9"/>
      <c r="C24" s="104"/>
      <c r="D24" s="105"/>
    </row>
    <row r="25" spans="1:17" x14ac:dyDescent="0.25">
      <c r="D25" s="25"/>
    </row>
    <row r="26" spans="1:17" x14ac:dyDescent="0.25">
      <c r="A26" s="36"/>
      <c r="B26" s="36" t="s">
        <v>329</v>
      </c>
      <c r="C26" s="36" t="s">
        <v>330</v>
      </c>
      <c r="D26" s="106" t="s">
        <v>155</v>
      </c>
    </row>
    <row r="27" spans="1:17" x14ac:dyDescent="0.25">
      <c r="A27" s="7" t="s">
        <v>331</v>
      </c>
      <c r="B27" s="42">
        <f>D21</f>
        <v>841358.11999999988</v>
      </c>
      <c r="C27" s="45">
        <f>B28</f>
        <v>258296.93956000003</v>
      </c>
      <c r="D27" s="46">
        <f>C27/B27</f>
        <v>0.30699999610154122</v>
      </c>
    </row>
    <row r="28" spans="1:17" x14ac:dyDescent="0.25">
      <c r="A28" s="47" t="s">
        <v>27</v>
      </c>
      <c r="B28" s="24">
        <f>O21</f>
        <v>258296.93956000003</v>
      </c>
      <c r="C28" s="9"/>
      <c r="D28" s="25"/>
    </row>
    <row r="29" spans="1:17" x14ac:dyDescent="0.25">
      <c r="A29" s="48" t="s">
        <v>332</v>
      </c>
      <c r="B29" s="107"/>
      <c r="C29" s="49">
        <f>(12*(78578.313+12454.55))/(150000+80000)*L21</f>
        <v>46080.043660486954</v>
      </c>
      <c r="D29" s="25"/>
    </row>
    <row r="30" spans="1:17" x14ac:dyDescent="0.25">
      <c r="A30" s="48" t="s">
        <v>335</v>
      </c>
      <c r="B30" s="107"/>
      <c r="C30" s="42">
        <f>'PATENTE PROVINCIAL'!N64</f>
        <v>672.6</v>
      </c>
      <c r="D30" s="25"/>
    </row>
    <row r="31" spans="1:17" x14ac:dyDescent="0.25">
      <c r="A31" s="48" t="s">
        <v>336</v>
      </c>
      <c r="B31" s="107"/>
      <c r="C31" s="42">
        <f>'PATENTE MUNICIPAL'!I71</f>
        <v>941.15666666666664</v>
      </c>
      <c r="D31" s="25"/>
    </row>
    <row r="32" spans="1:17" x14ac:dyDescent="0.25">
      <c r="A32" s="48" t="s">
        <v>337</v>
      </c>
      <c r="B32" s="107"/>
      <c r="C32" s="42">
        <f>SEGURO!K75</f>
        <v>261.09831688804553</v>
      </c>
      <c r="D32" s="25"/>
    </row>
    <row r="33" spans="1:4" x14ac:dyDescent="0.25">
      <c r="A33" s="48" t="s">
        <v>339</v>
      </c>
      <c r="B33" s="107"/>
      <c r="C33" s="42">
        <f>'GASTOS SEMI'!H187</f>
        <v>1226.33</v>
      </c>
      <c r="D33" s="25"/>
    </row>
    <row r="34" spans="1:4" x14ac:dyDescent="0.25">
      <c r="A34" s="48" t="s">
        <v>340</v>
      </c>
      <c r="B34" s="107"/>
      <c r="C34" s="51">
        <f>SUM(C29:C33)</f>
        <v>49181.228644041672</v>
      </c>
      <c r="D34" s="25"/>
    </row>
    <row r="35" spans="1:4" x14ac:dyDescent="0.25">
      <c r="A35" s="36" t="s">
        <v>341</v>
      </c>
      <c r="B35" s="107"/>
      <c r="C35" s="53">
        <f>C27-C28-C34</f>
        <v>209115.71091595836</v>
      </c>
      <c r="D35" s="106">
        <f>+B35+C35</f>
        <v>209115.71091595836</v>
      </c>
    </row>
  </sheetData>
  <sortState xmlns:xlrd2="http://schemas.microsoft.com/office/spreadsheetml/2017/richdata2" ref="A2:P19">
    <sortCondition ref="A1"/>
  </sortState>
  <mergeCells count="25">
    <mergeCell ref="Q4:Q5"/>
    <mergeCell ref="P4:P5"/>
    <mergeCell ref="O4:O5"/>
    <mergeCell ref="O17:O18"/>
    <mergeCell ref="A1:Q2"/>
    <mergeCell ref="Q8:Q9"/>
    <mergeCell ref="P8:P9"/>
    <mergeCell ref="O8:O9"/>
    <mergeCell ref="Q6:Q7"/>
    <mergeCell ref="P6:P7"/>
    <mergeCell ref="O6:O7"/>
    <mergeCell ref="Q13:Q14"/>
    <mergeCell ref="P13:P14"/>
    <mergeCell ref="O13:O14"/>
    <mergeCell ref="Q10:Q12"/>
    <mergeCell ref="P10:P12"/>
    <mergeCell ref="O10:O12"/>
    <mergeCell ref="Q19:Q20"/>
    <mergeCell ref="P19:P20"/>
    <mergeCell ref="O19:O20"/>
    <mergeCell ref="Q17:Q18"/>
    <mergeCell ref="P17:P18"/>
    <mergeCell ref="Q15:Q16"/>
    <mergeCell ref="P15:P16"/>
    <mergeCell ref="O15:O1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B050"/>
  </sheetPr>
  <dimension ref="A1:Q36"/>
  <sheetViews>
    <sheetView topLeftCell="A19" zoomScaleNormal="100" workbookViewId="0">
      <selection activeCell="C34" sqref="C34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3.42578125" style="2" bestFit="1" customWidth="1"/>
    <col min="8" max="9" width="23.5703125" style="2" bestFit="1" customWidth="1"/>
    <col min="10" max="10" width="8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7" t="s">
        <v>373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2010624937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3</v>
      </c>
      <c r="H4" s="11" t="s">
        <v>132</v>
      </c>
      <c r="I4" s="11" t="s">
        <v>132</v>
      </c>
      <c r="J4" s="11" t="s">
        <v>133</v>
      </c>
      <c r="K4" s="11" t="s">
        <v>134</v>
      </c>
      <c r="L4" s="11">
        <v>740</v>
      </c>
      <c r="M4" s="11">
        <v>29930</v>
      </c>
      <c r="N4" s="11" t="s">
        <v>8</v>
      </c>
      <c r="O4" s="637">
        <v>44630.85</v>
      </c>
      <c r="P4" s="631">
        <f>O4/(D4+D5)*100</f>
        <v>30.69999821842973</v>
      </c>
      <c r="Q4" s="630">
        <f>(D4+D5)/(L4+L5+L6)</f>
        <v>98.227952702702694</v>
      </c>
    </row>
    <row r="5" spans="1:17" ht="25.5" customHeight="1" x14ac:dyDescent="0.25">
      <c r="A5" s="10">
        <v>44470</v>
      </c>
      <c r="B5" s="11" t="s">
        <v>135</v>
      </c>
      <c r="C5" s="11" t="s">
        <v>0</v>
      </c>
      <c r="D5" s="125">
        <v>20268.66</v>
      </c>
      <c r="E5" s="11" t="s">
        <v>103</v>
      </c>
      <c r="F5" s="11" t="s">
        <v>2</v>
      </c>
      <c r="G5" s="11" t="s">
        <v>3</v>
      </c>
      <c r="H5" s="11" t="s">
        <v>132</v>
      </c>
      <c r="I5" s="11" t="s">
        <v>132</v>
      </c>
      <c r="J5" s="11" t="s">
        <v>133</v>
      </c>
      <c r="K5" s="11" t="s">
        <v>134</v>
      </c>
      <c r="L5" s="11">
        <v>0</v>
      </c>
      <c r="M5" s="11">
        <v>0</v>
      </c>
      <c r="N5" s="11" t="s">
        <v>8</v>
      </c>
      <c r="O5" s="650"/>
      <c r="P5" s="631"/>
      <c r="Q5" s="630"/>
    </row>
    <row r="6" spans="1:17" ht="25.5" customHeight="1" x14ac:dyDescent="0.25">
      <c r="A6" s="10">
        <v>44473</v>
      </c>
      <c r="B6" s="11">
        <v>2816837</v>
      </c>
      <c r="C6" s="11" t="s">
        <v>9</v>
      </c>
      <c r="D6" s="125">
        <v>0</v>
      </c>
      <c r="E6" s="11"/>
      <c r="F6" s="11" t="s">
        <v>3</v>
      </c>
      <c r="G6" s="11" t="s">
        <v>2</v>
      </c>
      <c r="H6" s="11" t="s">
        <v>132</v>
      </c>
      <c r="I6" s="11" t="s">
        <v>132</v>
      </c>
      <c r="J6" s="11" t="s">
        <v>133</v>
      </c>
      <c r="K6" s="11" t="s">
        <v>134</v>
      </c>
      <c r="L6" s="11">
        <v>740</v>
      </c>
      <c r="M6" s="11">
        <v>0</v>
      </c>
      <c r="N6" s="11" t="s">
        <v>10</v>
      </c>
      <c r="O6" s="638"/>
      <c r="P6" s="631"/>
      <c r="Q6" s="630"/>
    </row>
    <row r="7" spans="1:17" ht="25.5" customHeight="1" x14ac:dyDescent="0.25">
      <c r="A7" s="16">
        <v>44475</v>
      </c>
      <c r="B7" s="17">
        <v>2010647340</v>
      </c>
      <c r="C7" s="17" t="s">
        <v>0</v>
      </c>
      <c r="D7" s="128">
        <v>104707.38</v>
      </c>
      <c r="E7" s="17" t="s">
        <v>136</v>
      </c>
      <c r="F7" s="17" t="s">
        <v>2</v>
      </c>
      <c r="G7" s="17" t="s">
        <v>109</v>
      </c>
      <c r="H7" s="17" t="s">
        <v>132</v>
      </c>
      <c r="I7" s="17" t="s">
        <v>132</v>
      </c>
      <c r="J7" s="17" t="s">
        <v>133</v>
      </c>
      <c r="K7" s="17" t="s">
        <v>134</v>
      </c>
      <c r="L7" s="17">
        <v>606</v>
      </c>
      <c r="M7" s="17">
        <v>29060</v>
      </c>
      <c r="N7" s="17" t="s">
        <v>110</v>
      </c>
      <c r="O7" s="644">
        <v>32145.165659999999</v>
      </c>
      <c r="P7" s="629">
        <f>O7/D7*100</f>
        <v>30.7</v>
      </c>
      <c r="Q7" s="628">
        <f>D7/(L7+L8)</f>
        <v>86.392227722772276</v>
      </c>
    </row>
    <row r="8" spans="1:17" ht="25.5" customHeight="1" x14ac:dyDescent="0.25">
      <c r="A8" s="16">
        <v>44476</v>
      </c>
      <c r="B8" s="17">
        <v>2816818</v>
      </c>
      <c r="C8" s="17" t="s">
        <v>9</v>
      </c>
      <c r="D8" s="128">
        <v>0</v>
      </c>
      <c r="E8" s="17"/>
      <c r="F8" s="17" t="s">
        <v>109</v>
      </c>
      <c r="G8" s="17" t="s">
        <v>2</v>
      </c>
      <c r="H8" s="17" t="s">
        <v>132</v>
      </c>
      <c r="I8" s="17" t="s">
        <v>132</v>
      </c>
      <c r="J8" s="17" t="s">
        <v>133</v>
      </c>
      <c r="K8" s="17" t="s">
        <v>134</v>
      </c>
      <c r="L8" s="17">
        <v>606</v>
      </c>
      <c r="M8" s="17">
        <v>0</v>
      </c>
      <c r="N8" s="17" t="s">
        <v>10</v>
      </c>
      <c r="O8" s="645"/>
      <c r="P8" s="629"/>
      <c r="Q8" s="628"/>
    </row>
    <row r="9" spans="1:17" ht="25.5" customHeight="1" x14ac:dyDescent="0.25">
      <c r="A9" s="12">
        <v>44479</v>
      </c>
      <c r="B9" s="13">
        <v>2010663514</v>
      </c>
      <c r="C9" s="13" t="s">
        <v>0</v>
      </c>
      <c r="D9" s="127">
        <v>125108.71</v>
      </c>
      <c r="E9" s="13" t="s">
        <v>36</v>
      </c>
      <c r="F9" s="13" t="s">
        <v>2</v>
      </c>
      <c r="G9" s="13" t="s">
        <v>3</v>
      </c>
      <c r="H9" s="13" t="s">
        <v>132</v>
      </c>
      <c r="I9" s="13" t="s">
        <v>132</v>
      </c>
      <c r="J9" s="13" t="s">
        <v>133</v>
      </c>
      <c r="K9" s="13" t="s">
        <v>134</v>
      </c>
      <c r="L9" s="13">
        <v>740</v>
      </c>
      <c r="M9" s="13">
        <v>29640</v>
      </c>
      <c r="N9" s="13" t="s">
        <v>8</v>
      </c>
      <c r="O9" s="640">
        <v>41519.61</v>
      </c>
      <c r="P9" s="635">
        <f>O9/(D9+D10)*100</f>
        <v>30.69999757473656</v>
      </c>
      <c r="Q9" s="634">
        <f>(D9+D10)/(L9+L10+L11)</f>
        <v>91.380432432432443</v>
      </c>
    </row>
    <row r="10" spans="1:17" ht="25.5" customHeight="1" x14ac:dyDescent="0.25">
      <c r="A10" s="12">
        <v>44479</v>
      </c>
      <c r="B10" s="13" t="s">
        <v>137</v>
      </c>
      <c r="C10" s="13" t="s">
        <v>0</v>
      </c>
      <c r="D10" s="127">
        <v>10134.33</v>
      </c>
      <c r="E10" s="13" t="s">
        <v>103</v>
      </c>
      <c r="F10" s="13" t="s">
        <v>2</v>
      </c>
      <c r="G10" s="13" t="s">
        <v>3</v>
      </c>
      <c r="H10" s="13" t="s">
        <v>132</v>
      </c>
      <c r="I10" s="13" t="s">
        <v>132</v>
      </c>
      <c r="J10" s="13" t="s">
        <v>133</v>
      </c>
      <c r="K10" s="13" t="s">
        <v>134</v>
      </c>
      <c r="L10" s="13">
        <v>0</v>
      </c>
      <c r="M10" s="13">
        <v>0</v>
      </c>
      <c r="N10" s="13" t="s">
        <v>8</v>
      </c>
      <c r="O10" s="641"/>
      <c r="P10" s="635"/>
      <c r="Q10" s="634"/>
    </row>
    <row r="11" spans="1:17" ht="25.5" customHeight="1" x14ac:dyDescent="0.25">
      <c r="A11" s="12">
        <v>44482</v>
      </c>
      <c r="B11" s="13">
        <v>2816792</v>
      </c>
      <c r="C11" s="13" t="s">
        <v>9</v>
      </c>
      <c r="D11" s="127">
        <v>0</v>
      </c>
      <c r="E11" s="13"/>
      <c r="F11" s="13" t="s">
        <v>3</v>
      </c>
      <c r="G11" s="13" t="s">
        <v>2</v>
      </c>
      <c r="H11" s="13" t="s">
        <v>132</v>
      </c>
      <c r="I11" s="13" t="s">
        <v>132</v>
      </c>
      <c r="J11" s="13" t="s">
        <v>133</v>
      </c>
      <c r="K11" s="13" t="s">
        <v>134</v>
      </c>
      <c r="L11" s="13">
        <v>740</v>
      </c>
      <c r="M11" s="13">
        <v>0</v>
      </c>
      <c r="N11" s="13" t="s">
        <v>10</v>
      </c>
      <c r="O11" s="642"/>
      <c r="P11" s="635"/>
      <c r="Q11" s="634"/>
    </row>
    <row r="12" spans="1:17" ht="25.5" customHeight="1" x14ac:dyDescent="0.25">
      <c r="A12" s="14">
        <v>44484</v>
      </c>
      <c r="B12" s="15">
        <v>2010663572</v>
      </c>
      <c r="C12" s="15" t="s">
        <v>0</v>
      </c>
      <c r="D12" s="129">
        <v>78421.34</v>
      </c>
      <c r="E12" s="15" t="s">
        <v>39</v>
      </c>
      <c r="F12" s="15" t="s">
        <v>2</v>
      </c>
      <c r="G12" s="15" t="s">
        <v>138</v>
      </c>
      <c r="H12" s="15" t="s">
        <v>132</v>
      </c>
      <c r="I12" s="15" t="s">
        <v>132</v>
      </c>
      <c r="J12" s="15" t="s">
        <v>133</v>
      </c>
      <c r="K12" s="15" t="s">
        <v>134</v>
      </c>
      <c r="L12" s="15">
        <v>440</v>
      </c>
      <c r="M12" s="15">
        <v>29990</v>
      </c>
      <c r="N12" s="15" t="s">
        <v>8</v>
      </c>
      <c r="O12" s="647">
        <v>24075.35138</v>
      </c>
      <c r="P12" s="633">
        <f>O12/D12*100</f>
        <v>30.7</v>
      </c>
      <c r="Q12" s="632">
        <f>D12/(L12+L13)</f>
        <v>89.115159090909088</v>
      </c>
    </row>
    <row r="13" spans="1:17" ht="25.5" customHeight="1" x14ac:dyDescent="0.25">
      <c r="A13" s="14">
        <v>44485</v>
      </c>
      <c r="B13" s="15">
        <v>2816772</v>
      </c>
      <c r="C13" s="15" t="s">
        <v>9</v>
      </c>
      <c r="D13" s="129">
        <v>0</v>
      </c>
      <c r="E13" s="15"/>
      <c r="F13" s="15" t="s">
        <v>138</v>
      </c>
      <c r="G13" s="15" t="s">
        <v>2</v>
      </c>
      <c r="H13" s="15" t="s">
        <v>132</v>
      </c>
      <c r="I13" s="15" t="s">
        <v>132</v>
      </c>
      <c r="J13" s="15" t="s">
        <v>133</v>
      </c>
      <c r="K13" s="15" t="s">
        <v>134</v>
      </c>
      <c r="L13" s="15">
        <v>440</v>
      </c>
      <c r="M13" s="15">
        <v>0</v>
      </c>
      <c r="N13" s="15" t="s">
        <v>10</v>
      </c>
      <c r="O13" s="648"/>
      <c r="P13" s="633"/>
      <c r="Q13" s="632"/>
    </row>
    <row r="14" spans="1:17" ht="25.5" customHeight="1" x14ac:dyDescent="0.25">
      <c r="A14" s="10">
        <v>44487</v>
      </c>
      <c r="B14" s="11">
        <v>2010694714</v>
      </c>
      <c r="C14" s="11" t="s">
        <v>0</v>
      </c>
      <c r="D14" s="125">
        <v>125108.71</v>
      </c>
      <c r="E14" s="11" t="s">
        <v>41</v>
      </c>
      <c r="F14" s="11" t="s">
        <v>2</v>
      </c>
      <c r="G14" s="11" t="s">
        <v>3</v>
      </c>
      <c r="H14" s="11" t="s">
        <v>132</v>
      </c>
      <c r="I14" s="11" t="s">
        <v>132</v>
      </c>
      <c r="J14" s="11" t="s">
        <v>133</v>
      </c>
      <c r="K14" s="11" t="s">
        <v>134</v>
      </c>
      <c r="L14" s="11">
        <v>740</v>
      </c>
      <c r="M14" s="11">
        <v>29990</v>
      </c>
      <c r="N14" s="11" t="s">
        <v>8</v>
      </c>
      <c r="O14" s="637">
        <v>38408.373970000001</v>
      </c>
      <c r="P14" s="631">
        <f>O14/D14*100</f>
        <v>30.7</v>
      </c>
      <c r="Q14" s="630">
        <f>D14/(L14+L15)</f>
        <v>84.532912162162162</v>
      </c>
    </row>
    <row r="15" spans="1:17" ht="25.5" customHeight="1" x14ac:dyDescent="0.25">
      <c r="A15" s="10">
        <v>44488</v>
      </c>
      <c r="B15" s="11">
        <v>2816756</v>
      </c>
      <c r="C15" s="11" t="s">
        <v>9</v>
      </c>
      <c r="D15" s="125">
        <v>0</v>
      </c>
      <c r="E15" s="11"/>
      <c r="F15" s="11" t="s">
        <v>3</v>
      </c>
      <c r="G15" s="11" t="s">
        <v>2</v>
      </c>
      <c r="H15" s="11" t="s">
        <v>132</v>
      </c>
      <c r="I15" s="11" t="s">
        <v>132</v>
      </c>
      <c r="J15" s="11" t="s">
        <v>133</v>
      </c>
      <c r="K15" s="11" t="s">
        <v>134</v>
      </c>
      <c r="L15" s="11">
        <v>740</v>
      </c>
      <c r="M15" s="11">
        <v>0</v>
      </c>
      <c r="N15" s="11" t="s">
        <v>10</v>
      </c>
      <c r="O15" s="638"/>
      <c r="P15" s="631"/>
      <c r="Q15" s="630"/>
    </row>
    <row r="16" spans="1:17" ht="25.5" customHeight="1" x14ac:dyDescent="0.25">
      <c r="A16" s="16">
        <v>44490</v>
      </c>
      <c r="B16" s="17">
        <v>2010691391</v>
      </c>
      <c r="C16" s="17" t="s">
        <v>0</v>
      </c>
      <c r="D16" s="128">
        <v>125108.71</v>
      </c>
      <c r="E16" s="17" t="s">
        <v>60</v>
      </c>
      <c r="F16" s="17" t="s">
        <v>2</v>
      </c>
      <c r="G16" s="17" t="s">
        <v>139</v>
      </c>
      <c r="H16" s="17" t="s">
        <v>132</v>
      </c>
      <c r="I16" s="17" t="s">
        <v>132</v>
      </c>
      <c r="J16" s="17" t="s">
        <v>133</v>
      </c>
      <c r="K16" s="17" t="s">
        <v>134</v>
      </c>
      <c r="L16" s="17">
        <v>740</v>
      </c>
      <c r="M16" s="17">
        <v>28330</v>
      </c>
      <c r="N16" s="17" t="s">
        <v>38</v>
      </c>
      <c r="O16" s="644">
        <v>38408.373970000001</v>
      </c>
      <c r="P16" s="629">
        <f>O16/D16*100</f>
        <v>30.7</v>
      </c>
      <c r="Q16" s="628">
        <f>D16/(L16+L17)</f>
        <v>84.532912162162162</v>
      </c>
    </row>
    <row r="17" spans="1:17" ht="25.5" customHeight="1" x14ac:dyDescent="0.25">
      <c r="A17" s="16">
        <v>44492</v>
      </c>
      <c r="B17" s="17">
        <v>2816735</v>
      </c>
      <c r="C17" s="17" t="s">
        <v>9</v>
      </c>
      <c r="D17" s="128">
        <v>0</v>
      </c>
      <c r="E17" s="17"/>
      <c r="F17" s="17" t="s">
        <v>139</v>
      </c>
      <c r="G17" s="17" t="s">
        <v>2</v>
      </c>
      <c r="H17" s="17" t="s">
        <v>132</v>
      </c>
      <c r="I17" s="17" t="s">
        <v>132</v>
      </c>
      <c r="J17" s="17" t="s">
        <v>133</v>
      </c>
      <c r="K17" s="17" t="s">
        <v>134</v>
      </c>
      <c r="L17" s="17">
        <v>740</v>
      </c>
      <c r="M17" s="17">
        <v>0</v>
      </c>
      <c r="N17" s="17" t="s">
        <v>10</v>
      </c>
      <c r="O17" s="645"/>
      <c r="P17" s="629"/>
      <c r="Q17" s="628"/>
    </row>
    <row r="18" spans="1:17" ht="25.5" customHeight="1" x14ac:dyDescent="0.25">
      <c r="A18" s="12">
        <v>44494</v>
      </c>
      <c r="B18" s="13">
        <v>2010715516</v>
      </c>
      <c r="C18" s="13" t="s">
        <v>0</v>
      </c>
      <c r="D18" s="127">
        <v>125108.71</v>
      </c>
      <c r="E18" s="13" t="s">
        <v>1</v>
      </c>
      <c r="F18" s="13" t="s">
        <v>2</v>
      </c>
      <c r="G18" s="13" t="s">
        <v>3</v>
      </c>
      <c r="H18" s="13" t="s">
        <v>132</v>
      </c>
      <c r="I18" s="13" t="s">
        <v>132</v>
      </c>
      <c r="J18" s="13" t="s">
        <v>133</v>
      </c>
      <c r="K18" s="13" t="s">
        <v>134</v>
      </c>
      <c r="L18" s="13">
        <v>740</v>
      </c>
      <c r="M18" s="13">
        <v>29600</v>
      </c>
      <c r="N18" s="13" t="s">
        <v>8</v>
      </c>
      <c r="O18" s="640">
        <v>38408.373970000001</v>
      </c>
      <c r="P18" s="635">
        <f>O18/D18*100</f>
        <v>30.7</v>
      </c>
      <c r="Q18" s="634">
        <f>D18/(L18+L19)</f>
        <v>84.532912162162162</v>
      </c>
    </row>
    <row r="19" spans="1:17" ht="25.5" customHeight="1" x14ac:dyDescent="0.25">
      <c r="A19" s="12">
        <v>44495</v>
      </c>
      <c r="B19" s="13">
        <v>2816720</v>
      </c>
      <c r="C19" s="13" t="s">
        <v>9</v>
      </c>
      <c r="D19" s="127">
        <v>0</v>
      </c>
      <c r="E19" s="13"/>
      <c r="F19" s="13" t="s">
        <v>3</v>
      </c>
      <c r="G19" s="13" t="s">
        <v>2</v>
      </c>
      <c r="H19" s="13" t="s">
        <v>132</v>
      </c>
      <c r="I19" s="13" t="s">
        <v>132</v>
      </c>
      <c r="J19" s="13" t="s">
        <v>133</v>
      </c>
      <c r="K19" s="13" t="s">
        <v>134</v>
      </c>
      <c r="L19" s="13">
        <v>740</v>
      </c>
      <c r="M19" s="13">
        <v>0</v>
      </c>
      <c r="N19" s="13" t="s">
        <v>10</v>
      </c>
      <c r="O19" s="642"/>
      <c r="P19" s="635"/>
      <c r="Q19" s="634"/>
    </row>
    <row r="20" spans="1:17" ht="25.5" customHeight="1" x14ac:dyDescent="0.25">
      <c r="A20" s="14">
        <v>44498</v>
      </c>
      <c r="B20" s="15">
        <v>2010715573</v>
      </c>
      <c r="C20" s="15" t="s">
        <v>0</v>
      </c>
      <c r="D20" s="129">
        <v>125108.71</v>
      </c>
      <c r="E20" s="15" t="s">
        <v>44</v>
      </c>
      <c r="F20" s="15" t="s">
        <v>2</v>
      </c>
      <c r="G20" s="15" t="s">
        <v>3</v>
      </c>
      <c r="H20" s="15" t="s">
        <v>132</v>
      </c>
      <c r="I20" s="15" t="s">
        <v>132</v>
      </c>
      <c r="J20" s="15" t="s">
        <v>133</v>
      </c>
      <c r="K20" s="15" t="s">
        <v>134</v>
      </c>
      <c r="L20" s="15">
        <v>740</v>
      </c>
      <c r="M20" s="15">
        <v>29680</v>
      </c>
      <c r="N20" s="15" t="s">
        <v>8</v>
      </c>
      <c r="O20" s="647">
        <v>38408.373970000001</v>
      </c>
      <c r="P20" s="633">
        <f>O20/D20*100</f>
        <v>30.7</v>
      </c>
      <c r="Q20" s="632">
        <f>D20/(L20+L21)</f>
        <v>84.532912162162162</v>
      </c>
    </row>
    <row r="21" spans="1:17" ht="25.5" customHeight="1" x14ac:dyDescent="0.25">
      <c r="A21" s="85">
        <v>44499</v>
      </c>
      <c r="B21" s="86">
        <v>2816699</v>
      </c>
      <c r="C21" s="86" t="s">
        <v>9</v>
      </c>
      <c r="D21" s="133">
        <v>0</v>
      </c>
      <c r="E21" s="86"/>
      <c r="F21" s="86" t="s">
        <v>3</v>
      </c>
      <c r="G21" s="86" t="s">
        <v>2</v>
      </c>
      <c r="H21" s="86" t="s">
        <v>132</v>
      </c>
      <c r="I21" s="86" t="s">
        <v>132</v>
      </c>
      <c r="J21" s="86" t="s">
        <v>133</v>
      </c>
      <c r="K21" s="86" t="s">
        <v>134</v>
      </c>
      <c r="L21" s="86">
        <v>740</v>
      </c>
      <c r="M21" s="86">
        <v>0</v>
      </c>
      <c r="N21" s="86" t="s">
        <v>10</v>
      </c>
      <c r="O21" s="648"/>
      <c r="P21" s="633"/>
      <c r="Q21" s="632"/>
    </row>
    <row r="22" spans="1:17" x14ac:dyDescent="0.25">
      <c r="A22" s="9"/>
      <c r="B22" s="9"/>
      <c r="C22" s="9"/>
      <c r="D22" s="18">
        <f>SUM(D4:D21)</f>
        <v>964183.96999999986</v>
      </c>
      <c r="E22" s="9"/>
      <c r="F22" s="9"/>
      <c r="G22" s="9"/>
      <c r="H22" s="9"/>
      <c r="I22" s="9"/>
      <c r="J22" s="9"/>
      <c r="K22" s="9"/>
      <c r="L22" s="9">
        <f>SUM(L4:L21)</f>
        <v>10972</v>
      </c>
      <c r="M22" s="9"/>
      <c r="N22" s="9"/>
      <c r="O22" s="24">
        <f>SUM(O4:O21)</f>
        <v>296004.47292000003</v>
      </c>
      <c r="P22" s="64">
        <f>O22/D22*100</f>
        <v>30.699999391195032</v>
      </c>
      <c r="Q22" s="26">
        <f>D22/L22</f>
        <v>87.876774516952224</v>
      </c>
    </row>
    <row r="24" spans="1:17" x14ac:dyDescent="0.25">
      <c r="A24" s="99" t="s">
        <v>322</v>
      </c>
      <c r="B24" s="100" t="s">
        <v>328</v>
      </c>
      <c r="C24" s="101"/>
      <c r="D24" s="102"/>
    </row>
    <row r="25" spans="1:17" x14ac:dyDescent="0.25">
      <c r="A25" s="103">
        <f>D22/L22</f>
        <v>87.876774516952224</v>
      </c>
      <c r="B25" s="9"/>
      <c r="C25" s="104"/>
      <c r="D25" s="105"/>
    </row>
    <row r="26" spans="1:17" x14ac:dyDescent="0.25">
      <c r="D26" s="25"/>
    </row>
    <row r="27" spans="1:17" x14ac:dyDescent="0.25">
      <c r="A27" s="36"/>
      <c r="B27" s="36" t="s">
        <v>329</v>
      </c>
      <c r="C27" s="36" t="s">
        <v>330</v>
      </c>
      <c r="D27" s="106" t="s">
        <v>134</v>
      </c>
    </row>
    <row r="28" spans="1:17" x14ac:dyDescent="0.25">
      <c r="A28" s="7" t="s">
        <v>331</v>
      </c>
      <c r="B28" s="42">
        <f>D22</f>
        <v>964183.96999999986</v>
      </c>
      <c r="C28" s="45">
        <f>B29</f>
        <v>296004.47292000003</v>
      </c>
      <c r="D28" s="46">
        <f>C28/B28</f>
        <v>0.30699999391195032</v>
      </c>
    </row>
    <row r="29" spans="1:17" x14ac:dyDescent="0.25">
      <c r="A29" s="47" t="s">
        <v>27</v>
      </c>
      <c r="B29" s="24">
        <f>O22</f>
        <v>296004.47292000003</v>
      </c>
      <c r="C29" s="9"/>
      <c r="D29" s="25"/>
    </row>
    <row r="30" spans="1:17" x14ac:dyDescent="0.25">
      <c r="A30" s="48" t="s">
        <v>332</v>
      </c>
      <c r="B30" s="107"/>
      <c r="C30" s="49">
        <f>(12*(78578.313+12454.55))/(150000+80000)*L22</f>
        <v>52111.960321878258</v>
      </c>
      <c r="D30" s="25"/>
    </row>
    <row r="31" spans="1:17" x14ac:dyDescent="0.25">
      <c r="A31" s="48" t="s">
        <v>335</v>
      </c>
      <c r="B31" s="107"/>
      <c r="C31" s="42">
        <f>'PATENTE PROVINCIAL'!N69</f>
        <v>1183.5</v>
      </c>
      <c r="D31" s="25"/>
    </row>
    <row r="32" spans="1:17" x14ac:dyDescent="0.25">
      <c r="A32" s="48" t="s">
        <v>336</v>
      </c>
      <c r="B32" s="107"/>
      <c r="C32" s="42">
        <f>'PATENTE MUNICIPAL'!I76</f>
        <v>1655.8966666666665</v>
      </c>
      <c r="D32" s="25"/>
    </row>
    <row r="33" spans="1:4" x14ac:dyDescent="0.25">
      <c r="A33" s="48" t="s">
        <v>337</v>
      </c>
      <c r="B33" s="107"/>
      <c r="C33" s="42">
        <f>SEGURO!K80</f>
        <v>261.09831688804553</v>
      </c>
      <c r="D33" s="25"/>
    </row>
    <row r="34" spans="1:4" x14ac:dyDescent="0.25">
      <c r="A34" s="48" t="s">
        <v>339</v>
      </c>
      <c r="B34" s="107"/>
      <c r="C34" s="42"/>
      <c r="D34" s="25"/>
    </row>
    <row r="35" spans="1:4" x14ac:dyDescent="0.25">
      <c r="A35" s="48" t="s">
        <v>340</v>
      </c>
      <c r="B35" s="107"/>
      <c r="C35" s="51">
        <f>SUM(C30:C34)</f>
        <v>55212.455305432974</v>
      </c>
      <c r="D35" s="25"/>
    </row>
    <row r="36" spans="1:4" x14ac:dyDescent="0.25">
      <c r="A36" s="36" t="s">
        <v>341</v>
      </c>
      <c r="B36" s="107"/>
      <c r="C36" s="53">
        <f>C28-C29-C35</f>
        <v>240792.01761456707</v>
      </c>
      <c r="D36" s="106">
        <f>+B36+C36</f>
        <v>240792.01761456707</v>
      </c>
    </row>
  </sheetData>
  <sortState xmlns:xlrd2="http://schemas.microsoft.com/office/spreadsheetml/2017/richdata2" ref="A2:P20">
    <sortCondition ref="A1"/>
  </sortState>
  <mergeCells count="25">
    <mergeCell ref="A1:Q2"/>
    <mergeCell ref="Q7:Q8"/>
    <mergeCell ref="P7:P8"/>
    <mergeCell ref="O7:O8"/>
    <mergeCell ref="Q4:Q6"/>
    <mergeCell ref="P4:P6"/>
    <mergeCell ref="O4:O6"/>
    <mergeCell ref="Q12:Q13"/>
    <mergeCell ref="P12:P13"/>
    <mergeCell ref="O12:O13"/>
    <mergeCell ref="Q9:Q11"/>
    <mergeCell ref="P9:P11"/>
    <mergeCell ref="O9:O11"/>
    <mergeCell ref="Q16:Q17"/>
    <mergeCell ref="P16:P17"/>
    <mergeCell ref="O16:O17"/>
    <mergeCell ref="Q14:Q15"/>
    <mergeCell ref="P14:P15"/>
    <mergeCell ref="O14:O15"/>
    <mergeCell ref="Q20:Q21"/>
    <mergeCell ref="P20:P21"/>
    <mergeCell ref="O20:O21"/>
    <mergeCell ref="Q18:Q19"/>
    <mergeCell ref="P18:P19"/>
    <mergeCell ref="O18:O1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B050"/>
  </sheetPr>
  <dimension ref="A1:Q31"/>
  <sheetViews>
    <sheetView topLeftCell="A16" zoomScaleNormal="100" workbookViewId="0">
      <selection activeCell="C30" sqref="C30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6" width="45.7109375" style="2" bestFit="1" customWidth="1"/>
    <col min="7" max="7" width="44.28515625" style="2" bestFit="1" customWidth="1"/>
    <col min="8" max="8" width="10.5703125" style="2" bestFit="1" customWidth="1"/>
    <col min="9" max="9" width="27.14062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7" t="s">
        <v>374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2816286</v>
      </c>
      <c r="C4" s="4" t="s">
        <v>9</v>
      </c>
      <c r="D4" s="5">
        <v>0</v>
      </c>
      <c r="E4" s="4"/>
      <c r="F4" s="4" t="s">
        <v>29</v>
      </c>
      <c r="G4" s="4" t="s">
        <v>2</v>
      </c>
      <c r="H4" s="4" t="s">
        <v>30</v>
      </c>
      <c r="I4" s="4" t="s">
        <v>31</v>
      </c>
      <c r="J4" s="4" t="s">
        <v>32</v>
      </c>
      <c r="K4" s="4" t="s">
        <v>33</v>
      </c>
      <c r="L4" s="4">
        <v>740</v>
      </c>
      <c r="M4" s="4">
        <v>0</v>
      </c>
      <c r="N4" s="4" t="s">
        <v>10</v>
      </c>
      <c r="O4" s="5">
        <v>0</v>
      </c>
      <c r="P4" s="137">
        <v>0</v>
      </c>
      <c r="Q4" s="24">
        <v>0</v>
      </c>
    </row>
    <row r="5" spans="1:17" ht="25.5" customHeight="1" x14ac:dyDescent="0.25">
      <c r="A5" s="10">
        <v>44475</v>
      </c>
      <c r="B5" s="11">
        <v>2010637764</v>
      </c>
      <c r="C5" s="11" t="s">
        <v>0</v>
      </c>
      <c r="D5" s="125">
        <v>125108.71</v>
      </c>
      <c r="E5" s="11" t="s">
        <v>34</v>
      </c>
      <c r="F5" s="11" t="s">
        <v>2</v>
      </c>
      <c r="G5" s="11" t="s">
        <v>35</v>
      </c>
      <c r="H5" s="11" t="s">
        <v>30</v>
      </c>
      <c r="I5" s="11" t="s">
        <v>31</v>
      </c>
      <c r="J5" s="11" t="s">
        <v>32</v>
      </c>
      <c r="K5" s="11" t="s">
        <v>33</v>
      </c>
      <c r="L5" s="11">
        <v>740</v>
      </c>
      <c r="M5" s="11">
        <v>29900</v>
      </c>
      <c r="N5" s="11" t="s">
        <v>8</v>
      </c>
      <c r="O5" s="637">
        <v>38408.373970000001</v>
      </c>
      <c r="P5" s="676">
        <f>O5/D5*100</f>
        <v>30.7</v>
      </c>
      <c r="Q5" s="630">
        <f>D5/(L5+L6)</f>
        <v>84.532912162162162</v>
      </c>
    </row>
    <row r="6" spans="1:17" ht="25.5" customHeight="1" x14ac:dyDescent="0.25">
      <c r="A6" s="10">
        <v>44476</v>
      </c>
      <c r="B6" s="11">
        <v>2816817</v>
      </c>
      <c r="C6" s="11" t="s">
        <v>9</v>
      </c>
      <c r="D6" s="125">
        <v>0</v>
      </c>
      <c r="E6" s="11"/>
      <c r="F6" s="11" t="s">
        <v>35</v>
      </c>
      <c r="G6" s="11" t="s">
        <v>2</v>
      </c>
      <c r="H6" s="11" t="s">
        <v>30</v>
      </c>
      <c r="I6" s="11" t="s">
        <v>31</v>
      </c>
      <c r="J6" s="11" t="s">
        <v>32</v>
      </c>
      <c r="K6" s="11" t="s">
        <v>33</v>
      </c>
      <c r="L6" s="11">
        <v>740</v>
      </c>
      <c r="M6" s="11">
        <v>0</v>
      </c>
      <c r="N6" s="11" t="s">
        <v>10</v>
      </c>
      <c r="O6" s="638"/>
      <c r="P6" s="677"/>
      <c r="Q6" s="630"/>
    </row>
    <row r="7" spans="1:17" ht="25.5" customHeight="1" x14ac:dyDescent="0.25">
      <c r="A7" s="16">
        <v>44479</v>
      </c>
      <c r="B7" s="17">
        <v>2010654261</v>
      </c>
      <c r="C7" s="17" t="s">
        <v>0</v>
      </c>
      <c r="D7" s="128">
        <v>92952.46</v>
      </c>
      <c r="E7" s="17" t="s">
        <v>36</v>
      </c>
      <c r="F7" s="17" t="s">
        <v>2</v>
      </c>
      <c r="G7" s="17" t="s">
        <v>37</v>
      </c>
      <c r="H7" s="17" t="s">
        <v>30</v>
      </c>
      <c r="I7" s="17" t="s">
        <v>31</v>
      </c>
      <c r="J7" s="17" t="s">
        <v>32</v>
      </c>
      <c r="K7" s="17" t="s">
        <v>33</v>
      </c>
      <c r="L7" s="17">
        <v>538</v>
      </c>
      <c r="M7" s="17">
        <v>28260</v>
      </c>
      <c r="N7" s="17" t="s">
        <v>38</v>
      </c>
      <c r="O7" s="644">
        <v>28536.405220000001</v>
      </c>
      <c r="P7" s="674">
        <f>O7/D7*100</f>
        <v>30.7</v>
      </c>
      <c r="Q7" s="628">
        <f>D7/(L7+L8)</f>
        <v>86.387044609665438</v>
      </c>
    </row>
    <row r="8" spans="1:17" ht="25.5" customHeight="1" x14ac:dyDescent="0.25">
      <c r="A8" s="16">
        <v>44481</v>
      </c>
      <c r="B8" s="17">
        <v>2816807</v>
      </c>
      <c r="C8" s="17" t="s">
        <v>9</v>
      </c>
      <c r="D8" s="128">
        <v>0</v>
      </c>
      <c r="E8" s="17"/>
      <c r="F8" s="17" t="s">
        <v>37</v>
      </c>
      <c r="G8" s="17" t="s">
        <v>2</v>
      </c>
      <c r="H8" s="17" t="s">
        <v>30</v>
      </c>
      <c r="I8" s="17" t="s">
        <v>31</v>
      </c>
      <c r="J8" s="17" t="s">
        <v>32</v>
      </c>
      <c r="K8" s="17" t="s">
        <v>33</v>
      </c>
      <c r="L8" s="17">
        <v>538</v>
      </c>
      <c r="M8" s="17">
        <v>0</v>
      </c>
      <c r="N8" s="17" t="s">
        <v>10</v>
      </c>
      <c r="O8" s="645"/>
      <c r="P8" s="675"/>
      <c r="Q8" s="628"/>
    </row>
    <row r="9" spans="1:17" ht="25.5" customHeight="1" x14ac:dyDescent="0.25">
      <c r="A9" s="12">
        <v>44482</v>
      </c>
      <c r="B9" s="13">
        <v>2010654318</v>
      </c>
      <c r="C9" s="13" t="s">
        <v>0</v>
      </c>
      <c r="D9" s="127">
        <v>145163.85</v>
      </c>
      <c r="E9" s="13" t="s">
        <v>39</v>
      </c>
      <c r="F9" s="13" t="s">
        <v>2</v>
      </c>
      <c r="G9" s="13" t="s">
        <v>40</v>
      </c>
      <c r="H9" s="13" t="s">
        <v>30</v>
      </c>
      <c r="I9" s="13" t="s">
        <v>31</v>
      </c>
      <c r="J9" s="13" t="s">
        <v>32</v>
      </c>
      <c r="K9" s="13" t="s">
        <v>33</v>
      </c>
      <c r="L9" s="13">
        <v>856</v>
      </c>
      <c r="M9" s="13">
        <v>29800</v>
      </c>
      <c r="N9" s="13" t="s">
        <v>38</v>
      </c>
      <c r="O9" s="640">
        <v>44565.301950000001</v>
      </c>
      <c r="P9" s="672">
        <f>O9/D9*100</f>
        <v>30.7</v>
      </c>
      <c r="Q9" s="634">
        <f>D9/(L9+L10)</f>
        <v>84.791968457943923</v>
      </c>
    </row>
    <row r="10" spans="1:17" ht="25.5" customHeight="1" x14ac:dyDescent="0.25">
      <c r="A10" s="12">
        <v>44484</v>
      </c>
      <c r="B10" s="13">
        <v>2816784</v>
      </c>
      <c r="C10" s="13" t="s">
        <v>9</v>
      </c>
      <c r="D10" s="127">
        <v>0</v>
      </c>
      <c r="E10" s="13"/>
      <c r="F10" s="13" t="s">
        <v>40</v>
      </c>
      <c r="G10" s="13" t="s">
        <v>2</v>
      </c>
      <c r="H10" s="13" t="s">
        <v>30</v>
      </c>
      <c r="I10" s="13" t="s">
        <v>31</v>
      </c>
      <c r="J10" s="13" t="s">
        <v>32</v>
      </c>
      <c r="K10" s="13" t="s">
        <v>33</v>
      </c>
      <c r="L10" s="13">
        <v>856</v>
      </c>
      <c r="M10" s="13">
        <v>0</v>
      </c>
      <c r="N10" s="13" t="s">
        <v>10</v>
      </c>
      <c r="O10" s="642"/>
      <c r="P10" s="673"/>
      <c r="Q10" s="634"/>
    </row>
    <row r="11" spans="1:17" ht="25.5" customHeight="1" x14ac:dyDescent="0.25">
      <c r="A11" s="14">
        <v>44487</v>
      </c>
      <c r="B11" s="15">
        <v>2010696481</v>
      </c>
      <c r="C11" s="15" t="s">
        <v>0</v>
      </c>
      <c r="D11" s="129">
        <v>149057.13</v>
      </c>
      <c r="E11" s="15" t="s">
        <v>41</v>
      </c>
      <c r="F11" s="15" t="s">
        <v>2</v>
      </c>
      <c r="G11" s="15" t="s">
        <v>42</v>
      </c>
      <c r="H11" s="15" t="s">
        <v>30</v>
      </c>
      <c r="I11" s="15" t="s">
        <v>31</v>
      </c>
      <c r="J11" s="15" t="s">
        <v>32</v>
      </c>
      <c r="K11" s="15" t="s">
        <v>33</v>
      </c>
      <c r="L11" s="15">
        <v>879</v>
      </c>
      <c r="M11" s="15">
        <v>29980</v>
      </c>
      <c r="N11" s="15" t="s">
        <v>8</v>
      </c>
      <c r="O11" s="647">
        <v>45760.538910000003</v>
      </c>
      <c r="P11" s="678">
        <f>O11/D11*100</f>
        <v>30.7</v>
      </c>
      <c r="Q11" s="632">
        <f>D11/(L11+L12)</f>
        <v>84.787901023890782</v>
      </c>
    </row>
    <row r="12" spans="1:17" ht="25.5" customHeight="1" x14ac:dyDescent="0.25">
      <c r="A12" s="14">
        <v>44489</v>
      </c>
      <c r="B12" s="15">
        <v>2816749</v>
      </c>
      <c r="C12" s="15" t="s">
        <v>9</v>
      </c>
      <c r="D12" s="129">
        <v>0</v>
      </c>
      <c r="E12" s="15"/>
      <c r="F12" s="15" t="s">
        <v>42</v>
      </c>
      <c r="G12" s="15" t="s">
        <v>2</v>
      </c>
      <c r="H12" s="15" t="s">
        <v>30</v>
      </c>
      <c r="I12" s="15" t="s">
        <v>31</v>
      </c>
      <c r="J12" s="15" t="s">
        <v>32</v>
      </c>
      <c r="K12" s="15" t="s">
        <v>33</v>
      </c>
      <c r="L12" s="15">
        <v>879</v>
      </c>
      <c r="M12" s="15">
        <v>0</v>
      </c>
      <c r="N12" s="15" t="s">
        <v>10</v>
      </c>
      <c r="O12" s="648"/>
      <c r="P12" s="679"/>
      <c r="Q12" s="632"/>
    </row>
    <row r="13" spans="1:17" ht="25.5" customHeight="1" x14ac:dyDescent="0.25">
      <c r="A13" s="10">
        <v>44494</v>
      </c>
      <c r="B13" s="11">
        <v>2010718273</v>
      </c>
      <c r="C13" s="11" t="s">
        <v>0</v>
      </c>
      <c r="D13" s="125">
        <v>125108.71</v>
      </c>
      <c r="E13" s="11" t="s">
        <v>1</v>
      </c>
      <c r="F13" s="11" t="s">
        <v>2</v>
      </c>
      <c r="G13" s="11" t="s">
        <v>43</v>
      </c>
      <c r="H13" s="11" t="s">
        <v>30</v>
      </c>
      <c r="I13" s="11" t="s">
        <v>31</v>
      </c>
      <c r="J13" s="11" t="s">
        <v>32</v>
      </c>
      <c r="K13" s="11" t="s">
        <v>33</v>
      </c>
      <c r="L13" s="11">
        <v>740</v>
      </c>
      <c r="M13" s="11">
        <v>28830</v>
      </c>
      <c r="N13" s="11" t="s">
        <v>8</v>
      </c>
      <c r="O13" s="637">
        <v>38408.373970000001</v>
      </c>
      <c r="P13" s="676">
        <f>O13/D13*100</f>
        <v>30.7</v>
      </c>
      <c r="Q13" s="630">
        <f>D13/(L13+L14)</f>
        <v>84.532912162162162</v>
      </c>
    </row>
    <row r="14" spans="1:17" ht="25.5" customHeight="1" x14ac:dyDescent="0.25">
      <c r="A14" s="10">
        <v>44495</v>
      </c>
      <c r="B14" s="11">
        <v>2816719</v>
      </c>
      <c r="C14" s="11" t="s">
        <v>9</v>
      </c>
      <c r="D14" s="125">
        <v>0</v>
      </c>
      <c r="E14" s="11"/>
      <c r="F14" s="11" t="s">
        <v>43</v>
      </c>
      <c r="G14" s="11" t="s">
        <v>2</v>
      </c>
      <c r="H14" s="11" t="s">
        <v>30</v>
      </c>
      <c r="I14" s="11" t="s">
        <v>31</v>
      </c>
      <c r="J14" s="11" t="s">
        <v>32</v>
      </c>
      <c r="K14" s="11" t="s">
        <v>33</v>
      </c>
      <c r="L14" s="11">
        <v>740</v>
      </c>
      <c r="M14" s="11">
        <v>0</v>
      </c>
      <c r="N14" s="11" t="s">
        <v>10</v>
      </c>
      <c r="O14" s="638"/>
      <c r="P14" s="677"/>
      <c r="Q14" s="630"/>
    </row>
    <row r="15" spans="1:17" ht="25.5" customHeight="1" x14ac:dyDescent="0.25">
      <c r="A15" s="16">
        <v>44498</v>
      </c>
      <c r="B15" s="17">
        <v>2010715526</v>
      </c>
      <c r="C15" s="17" t="s">
        <v>0</v>
      </c>
      <c r="D15" s="128">
        <v>125108.71</v>
      </c>
      <c r="E15" s="17" t="s">
        <v>44</v>
      </c>
      <c r="F15" s="17" t="s">
        <v>2</v>
      </c>
      <c r="G15" s="17" t="s">
        <v>3</v>
      </c>
      <c r="H15" s="17" t="s">
        <v>30</v>
      </c>
      <c r="I15" s="17" t="s">
        <v>31</v>
      </c>
      <c r="J15" s="17" t="s">
        <v>32</v>
      </c>
      <c r="K15" s="17" t="s">
        <v>33</v>
      </c>
      <c r="L15" s="17">
        <v>740</v>
      </c>
      <c r="M15" s="17">
        <v>29470</v>
      </c>
      <c r="N15" s="17" t="s">
        <v>8</v>
      </c>
      <c r="O15" s="644">
        <v>38408.373970000001</v>
      </c>
      <c r="P15" s="674">
        <f>O15/D15*100</f>
        <v>30.7</v>
      </c>
      <c r="Q15" s="628">
        <f>D15/(L15+L16)</f>
        <v>84.532912162162162</v>
      </c>
    </row>
    <row r="16" spans="1:17" ht="25.5" customHeight="1" x14ac:dyDescent="0.25">
      <c r="A16" s="57">
        <v>44499</v>
      </c>
      <c r="B16" s="58">
        <v>2816697</v>
      </c>
      <c r="C16" s="58" t="s">
        <v>9</v>
      </c>
      <c r="D16" s="132">
        <v>0</v>
      </c>
      <c r="E16" s="58"/>
      <c r="F16" s="58" t="s">
        <v>3</v>
      </c>
      <c r="G16" s="58" t="s">
        <v>2</v>
      </c>
      <c r="H16" s="58" t="s">
        <v>30</v>
      </c>
      <c r="I16" s="58" t="s">
        <v>31</v>
      </c>
      <c r="J16" s="58" t="s">
        <v>32</v>
      </c>
      <c r="K16" s="58" t="s">
        <v>33</v>
      </c>
      <c r="L16" s="58">
        <v>740</v>
      </c>
      <c r="M16" s="58">
        <v>0</v>
      </c>
      <c r="N16" s="58" t="s">
        <v>10</v>
      </c>
      <c r="O16" s="645"/>
      <c r="P16" s="675"/>
      <c r="Q16" s="628"/>
    </row>
    <row r="17" spans="1:17" x14ac:dyDescent="0.25">
      <c r="A17" s="9"/>
      <c r="B17" s="9"/>
      <c r="C17" s="9"/>
      <c r="D17" s="18">
        <f>SUM(D4:D16)</f>
        <v>762499.57</v>
      </c>
      <c r="E17" s="9"/>
      <c r="F17" s="9"/>
      <c r="G17" s="9"/>
      <c r="H17" s="9"/>
      <c r="I17" s="9"/>
      <c r="J17" s="9"/>
      <c r="K17" s="9"/>
      <c r="L17" s="9">
        <f>SUM(L4:L16)</f>
        <v>9726</v>
      </c>
      <c r="M17" s="9"/>
      <c r="N17" s="9"/>
      <c r="O17" s="24">
        <f>SUM(O4:O16)</f>
        <v>234087.36799</v>
      </c>
      <c r="P17" s="28">
        <f>O17/D17*100</f>
        <v>30.7</v>
      </c>
      <c r="Q17" s="26">
        <f>D17/L17</f>
        <v>78.398063952292816</v>
      </c>
    </row>
    <row r="19" spans="1:17" x14ac:dyDescent="0.25">
      <c r="A19" s="99" t="s">
        <v>322</v>
      </c>
      <c r="B19" s="100" t="s">
        <v>328</v>
      </c>
      <c r="C19" s="101"/>
      <c r="D19" s="102"/>
    </row>
    <row r="20" spans="1:17" x14ac:dyDescent="0.25">
      <c r="A20" s="103">
        <f>D17/L17</f>
        <v>78.398063952292816</v>
      </c>
      <c r="B20" s="9"/>
      <c r="C20" s="104"/>
      <c r="D20" s="105"/>
    </row>
    <row r="21" spans="1:17" x14ac:dyDescent="0.25">
      <c r="D21" s="25"/>
    </row>
    <row r="22" spans="1:17" x14ac:dyDescent="0.25">
      <c r="A22" s="36"/>
      <c r="B22" s="36" t="s">
        <v>329</v>
      </c>
      <c r="C22" s="36" t="s">
        <v>330</v>
      </c>
      <c r="D22" s="106" t="s">
        <v>33</v>
      </c>
    </row>
    <row r="23" spans="1:17" x14ac:dyDescent="0.25">
      <c r="A23" s="7" t="s">
        <v>331</v>
      </c>
      <c r="B23" s="42">
        <f>D17</f>
        <v>762499.57</v>
      </c>
      <c r="C23" s="45">
        <f>B24</f>
        <v>234087.36799</v>
      </c>
      <c r="D23" s="46">
        <f>C23/B23</f>
        <v>0.307</v>
      </c>
    </row>
    <row r="24" spans="1:17" x14ac:dyDescent="0.25">
      <c r="A24" s="47" t="s">
        <v>27</v>
      </c>
      <c r="B24" s="24">
        <f>O17</f>
        <v>234087.36799</v>
      </c>
      <c r="C24" s="9"/>
      <c r="D24" s="25"/>
    </row>
    <row r="25" spans="1:17" x14ac:dyDescent="0.25">
      <c r="A25" s="48" t="s">
        <v>332</v>
      </c>
      <c r="B25" s="107"/>
      <c r="C25" s="49">
        <f>(12*(78578.313+12454.55))/(150000+80000)*L17</f>
        <v>46194.032636765216</v>
      </c>
      <c r="D25" s="25"/>
    </row>
    <row r="26" spans="1:17" x14ac:dyDescent="0.25">
      <c r="A26" s="48" t="s">
        <v>335</v>
      </c>
      <c r="B26" s="107"/>
      <c r="C26" s="42"/>
      <c r="D26" s="25"/>
    </row>
    <row r="27" spans="1:17" x14ac:dyDescent="0.25">
      <c r="A27" s="48" t="s">
        <v>336</v>
      </c>
      <c r="B27" s="107"/>
      <c r="C27" s="42">
        <f>'PATENTE MUNICIPAL'!I59</f>
        <v>20.833333333333332</v>
      </c>
      <c r="D27" s="25"/>
    </row>
    <row r="28" spans="1:17" x14ac:dyDescent="0.25">
      <c r="A28" s="48" t="s">
        <v>337</v>
      </c>
      <c r="B28" s="107"/>
      <c r="C28" s="42">
        <f>SEGURO!K63</f>
        <v>261.09831688804553</v>
      </c>
      <c r="D28" s="25"/>
    </row>
    <row r="29" spans="1:17" x14ac:dyDescent="0.25">
      <c r="A29" s="48" t="s">
        <v>339</v>
      </c>
      <c r="B29" s="107"/>
      <c r="C29" s="42">
        <f>'GASTOS SEMI'!H168</f>
        <v>7146.2811999999994</v>
      </c>
      <c r="D29" s="25"/>
    </row>
    <row r="30" spans="1:17" x14ac:dyDescent="0.25">
      <c r="A30" s="48" t="s">
        <v>340</v>
      </c>
      <c r="B30" s="107"/>
      <c r="C30" s="51">
        <f>SUM(C25:C29)</f>
        <v>53622.245486986598</v>
      </c>
      <c r="D30" s="25"/>
    </row>
    <row r="31" spans="1:17" x14ac:dyDescent="0.25">
      <c r="A31" s="36" t="s">
        <v>341</v>
      </c>
      <c r="B31" s="107"/>
      <c r="C31" s="53">
        <f>C23-C24-C30</f>
        <v>180465.12250301341</v>
      </c>
      <c r="D31" s="106">
        <f>+B31+C31</f>
        <v>180465.12250301341</v>
      </c>
    </row>
  </sheetData>
  <sortState xmlns:xlrd2="http://schemas.microsoft.com/office/spreadsheetml/2017/richdata2" ref="A2:P15">
    <sortCondition ref="A1"/>
  </sortState>
  <mergeCells count="19">
    <mergeCell ref="A1:Q2"/>
    <mergeCell ref="Q7:Q8"/>
    <mergeCell ref="P7:P8"/>
    <mergeCell ref="O7:O8"/>
    <mergeCell ref="Q5:Q6"/>
    <mergeCell ref="P5:P6"/>
    <mergeCell ref="O5:O6"/>
    <mergeCell ref="Q11:Q12"/>
    <mergeCell ref="P11:P12"/>
    <mergeCell ref="O11:O12"/>
    <mergeCell ref="Q9:Q10"/>
    <mergeCell ref="P9:P10"/>
    <mergeCell ref="O9:O10"/>
    <mergeCell ref="Q15:Q16"/>
    <mergeCell ref="P15:P16"/>
    <mergeCell ref="O15:O16"/>
    <mergeCell ref="Q13:Q14"/>
    <mergeCell ref="P13:P14"/>
    <mergeCell ref="O13:O14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B050"/>
  </sheetPr>
  <dimension ref="A1:Q35"/>
  <sheetViews>
    <sheetView topLeftCell="A19" zoomScaleNormal="100" workbookViewId="0">
      <selection activeCell="C33" sqref="C33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5.85546875" style="2" bestFit="1" customWidth="1"/>
    <col min="8" max="8" width="10.5703125" style="2" bestFit="1" customWidth="1"/>
    <col min="9" max="9" width="26.140625" style="2" bestFit="1" customWidth="1"/>
    <col min="10" max="10" width="7.5703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7" t="s">
        <v>375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44472</v>
      </c>
      <c r="B4" s="11">
        <v>2010642108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3</v>
      </c>
      <c r="H4" s="11" t="s">
        <v>30</v>
      </c>
      <c r="I4" s="11" t="s">
        <v>185</v>
      </c>
      <c r="J4" s="11" t="s">
        <v>186</v>
      </c>
      <c r="K4" s="11" t="s">
        <v>187</v>
      </c>
      <c r="L4" s="11">
        <v>740</v>
      </c>
      <c r="M4" s="11">
        <v>29320</v>
      </c>
      <c r="N4" s="60" t="s">
        <v>8</v>
      </c>
      <c r="O4" s="630">
        <v>38408.373970000001</v>
      </c>
      <c r="P4" s="636">
        <f>O4/D4*100</f>
        <v>30.7</v>
      </c>
      <c r="Q4" s="630">
        <f>D4/(L4+L5)</f>
        <v>84.532912162162162</v>
      </c>
    </row>
    <row r="5" spans="1:17" ht="25.5" customHeight="1" x14ac:dyDescent="0.25">
      <c r="A5" s="10">
        <v>44474</v>
      </c>
      <c r="B5" s="11">
        <v>2816834</v>
      </c>
      <c r="C5" s="11" t="s">
        <v>9</v>
      </c>
      <c r="D5" s="125">
        <v>0</v>
      </c>
      <c r="E5" s="11"/>
      <c r="F5" s="11" t="s">
        <v>3</v>
      </c>
      <c r="G5" s="11" t="s">
        <v>2</v>
      </c>
      <c r="H5" s="11" t="s">
        <v>30</v>
      </c>
      <c r="I5" s="11" t="s">
        <v>185</v>
      </c>
      <c r="J5" s="11" t="s">
        <v>186</v>
      </c>
      <c r="K5" s="11" t="s">
        <v>187</v>
      </c>
      <c r="L5" s="11">
        <v>740</v>
      </c>
      <c r="M5" s="11">
        <v>0</v>
      </c>
      <c r="N5" s="60" t="s">
        <v>10</v>
      </c>
      <c r="O5" s="630"/>
      <c r="P5" s="636"/>
      <c r="Q5" s="630"/>
    </row>
    <row r="6" spans="1:17" ht="25.5" customHeight="1" x14ac:dyDescent="0.25">
      <c r="A6" s="16">
        <v>44476</v>
      </c>
      <c r="B6" s="17">
        <v>2010645801</v>
      </c>
      <c r="C6" s="17" t="s">
        <v>0</v>
      </c>
      <c r="D6" s="128">
        <v>125108.71</v>
      </c>
      <c r="E6" s="17" t="s">
        <v>34</v>
      </c>
      <c r="F6" s="17" t="s">
        <v>2</v>
      </c>
      <c r="G6" s="17" t="s">
        <v>3</v>
      </c>
      <c r="H6" s="17" t="s">
        <v>30</v>
      </c>
      <c r="I6" s="17" t="s">
        <v>185</v>
      </c>
      <c r="J6" s="17" t="s">
        <v>186</v>
      </c>
      <c r="K6" s="17" t="s">
        <v>187</v>
      </c>
      <c r="L6" s="17">
        <v>740</v>
      </c>
      <c r="M6" s="17">
        <v>29260</v>
      </c>
      <c r="N6" s="61" t="s">
        <v>8</v>
      </c>
      <c r="O6" s="628">
        <v>38408.373970000001</v>
      </c>
      <c r="P6" s="643">
        <f>O6/D6*100</f>
        <v>30.7</v>
      </c>
      <c r="Q6" s="628">
        <f>D6/(L6+L7)</f>
        <v>84.532912162162162</v>
      </c>
    </row>
    <row r="7" spans="1:17" ht="25.5" customHeight="1" x14ac:dyDescent="0.25">
      <c r="A7" s="16">
        <v>44477</v>
      </c>
      <c r="B7" s="17">
        <v>2816814</v>
      </c>
      <c r="C7" s="17" t="s">
        <v>9</v>
      </c>
      <c r="D7" s="128">
        <v>0</v>
      </c>
      <c r="E7" s="17"/>
      <c r="F7" s="17" t="s">
        <v>3</v>
      </c>
      <c r="G7" s="17" t="s">
        <v>2</v>
      </c>
      <c r="H7" s="17" t="s">
        <v>30</v>
      </c>
      <c r="I7" s="17" t="s">
        <v>185</v>
      </c>
      <c r="J7" s="17" t="s">
        <v>186</v>
      </c>
      <c r="K7" s="17" t="s">
        <v>187</v>
      </c>
      <c r="L7" s="17">
        <v>740</v>
      </c>
      <c r="M7" s="17">
        <v>0</v>
      </c>
      <c r="N7" s="61" t="s">
        <v>10</v>
      </c>
      <c r="O7" s="628"/>
      <c r="P7" s="643"/>
      <c r="Q7" s="628"/>
    </row>
    <row r="8" spans="1:17" ht="25.5" customHeight="1" x14ac:dyDescent="0.25">
      <c r="A8" s="12">
        <v>44479</v>
      </c>
      <c r="B8" s="13">
        <v>2010663571</v>
      </c>
      <c r="C8" s="13" t="s">
        <v>0</v>
      </c>
      <c r="D8" s="127">
        <v>78421.34</v>
      </c>
      <c r="E8" s="13" t="s">
        <v>36</v>
      </c>
      <c r="F8" s="13" t="s">
        <v>2</v>
      </c>
      <c r="G8" s="13" t="s">
        <v>138</v>
      </c>
      <c r="H8" s="13" t="s">
        <v>30</v>
      </c>
      <c r="I8" s="13" t="s">
        <v>185</v>
      </c>
      <c r="J8" s="13" t="s">
        <v>186</v>
      </c>
      <c r="K8" s="13" t="s">
        <v>187</v>
      </c>
      <c r="L8" s="13">
        <v>440</v>
      </c>
      <c r="M8" s="13">
        <v>29050</v>
      </c>
      <c r="N8" s="62" t="s">
        <v>8</v>
      </c>
      <c r="O8" s="634">
        <v>24075.35138</v>
      </c>
      <c r="P8" s="639">
        <f>O8/D8*100</f>
        <v>30.7</v>
      </c>
      <c r="Q8" s="634">
        <f>D8/(L8+L9)</f>
        <v>89.115159090909088</v>
      </c>
    </row>
    <row r="9" spans="1:17" ht="25.5" customHeight="1" x14ac:dyDescent="0.25">
      <c r="A9" s="12">
        <v>44481</v>
      </c>
      <c r="B9" s="13">
        <v>2816801</v>
      </c>
      <c r="C9" s="13" t="s">
        <v>9</v>
      </c>
      <c r="D9" s="127">
        <v>0</v>
      </c>
      <c r="E9" s="13"/>
      <c r="F9" s="13" t="s">
        <v>138</v>
      </c>
      <c r="G9" s="13" t="s">
        <v>2</v>
      </c>
      <c r="H9" s="13" t="s">
        <v>30</v>
      </c>
      <c r="I9" s="13" t="s">
        <v>185</v>
      </c>
      <c r="J9" s="13" t="s">
        <v>186</v>
      </c>
      <c r="K9" s="13" t="s">
        <v>187</v>
      </c>
      <c r="L9" s="13">
        <v>440</v>
      </c>
      <c r="M9" s="13">
        <v>0</v>
      </c>
      <c r="N9" s="62" t="s">
        <v>10</v>
      </c>
      <c r="O9" s="634"/>
      <c r="P9" s="639"/>
      <c r="Q9" s="634"/>
    </row>
    <row r="10" spans="1:17" ht="25.5" customHeight="1" x14ac:dyDescent="0.25">
      <c r="A10" s="14">
        <v>44481</v>
      </c>
      <c r="B10" s="15">
        <v>2010659576</v>
      </c>
      <c r="C10" s="15" t="s">
        <v>0</v>
      </c>
      <c r="D10" s="129">
        <v>125108.71</v>
      </c>
      <c r="E10" s="15" t="s">
        <v>36</v>
      </c>
      <c r="F10" s="15" t="s">
        <v>2</v>
      </c>
      <c r="G10" s="15" t="s">
        <v>139</v>
      </c>
      <c r="H10" s="15" t="s">
        <v>30</v>
      </c>
      <c r="I10" s="15" t="s">
        <v>185</v>
      </c>
      <c r="J10" s="15" t="s">
        <v>186</v>
      </c>
      <c r="K10" s="15" t="s">
        <v>187</v>
      </c>
      <c r="L10" s="15">
        <v>740</v>
      </c>
      <c r="M10" s="15">
        <v>29540</v>
      </c>
      <c r="N10" s="63" t="s">
        <v>38</v>
      </c>
      <c r="O10" s="632">
        <v>38408.373970000001</v>
      </c>
      <c r="P10" s="646">
        <f>O10/D10*100</f>
        <v>30.7</v>
      </c>
      <c r="Q10" s="632">
        <f>D10/(L10+L11)</f>
        <v>84.532912162162162</v>
      </c>
    </row>
    <row r="11" spans="1:17" ht="25.5" customHeight="1" x14ac:dyDescent="0.25">
      <c r="A11" s="14">
        <v>44483</v>
      </c>
      <c r="B11" s="15">
        <v>2816789</v>
      </c>
      <c r="C11" s="15" t="s">
        <v>9</v>
      </c>
      <c r="D11" s="129">
        <v>0</v>
      </c>
      <c r="E11" s="15"/>
      <c r="F11" s="15" t="s">
        <v>139</v>
      </c>
      <c r="G11" s="15" t="s">
        <v>2</v>
      </c>
      <c r="H11" s="15" t="s">
        <v>30</v>
      </c>
      <c r="I11" s="15" t="s">
        <v>185</v>
      </c>
      <c r="J11" s="15" t="s">
        <v>186</v>
      </c>
      <c r="K11" s="15" t="s">
        <v>187</v>
      </c>
      <c r="L11" s="15">
        <v>740</v>
      </c>
      <c r="M11" s="15">
        <v>0</v>
      </c>
      <c r="N11" s="63" t="s">
        <v>10</v>
      </c>
      <c r="O11" s="632"/>
      <c r="P11" s="646"/>
      <c r="Q11" s="632"/>
    </row>
    <row r="12" spans="1:17" ht="25.5" customHeight="1" x14ac:dyDescent="0.25">
      <c r="A12" s="10">
        <v>44485</v>
      </c>
      <c r="B12" s="11">
        <v>2010692063</v>
      </c>
      <c r="C12" s="11" t="s">
        <v>0</v>
      </c>
      <c r="D12" s="125">
        <v>113339.39</v>
      </c>
      <c r="E12" s="11" t="s">
        <v>41</v>
      </c>
      <c r="F12" s="11" t="s">
        <v>2</v>
      </c>
      <c r="G12" s="11" t="s">
        <v>188</v>
      </c>
      <c r="H12" s="11" t="s">
        <v>30</v>
      </c>
      <c r="I12" s="11" t="s">
        <v>185</v>
      </c>
      <c r="J12" s="11" t="s">
        <v>186</v>
      </c>
      <c r="K12" s="11" t="s">
        <v>187</v>
      </c>
      <c r="L12" s="11">
        <v>656</v>
      </c>
      <c r="M12" s="11">
        <v>27770</v>
      </c>
      <c r="N12" s="60" t="s">
        <v>38</v>
      </c>
      <c r="O12" s="630">
        <v>34795.192730000002</v>
      </c>
      <c r="P12" s="636">
        <f>O12/D12*100</f>
        <v>30.700000000000006</v>
      </c>
      <c r="Q12" s="630">
        <f>D12/(L12+L13)</f>
        <v>86.386730182926826</v>
      </c>
    </row>
    <row r="13" spans="1:17" ht="25.5" customHeight="1" x14ac:dyDescent="0.25">
      <c r="A13" s="10">
        <v>44487</v>
      </c>
      <c r="B13" s="11">
        <v>2816767</v>
      </c>
      <c r="C13" s="11" t="s">
        <v>9</v>
      </c>
      <c r="D13" s="125">
        <v>0</v>
      </c>
      <c r="E13" s="11"/>
      <c r="F13" s="11" t="s">
        <v>188</v>
      </c>
      <c r="G13" s="11" t="s">
        <v>2</v>
      </c>
      <c r="H13" s="11" t="s">
        <v>30</v>
      </c>
      <c r="I13" s="11" t="s">
        <v>185</v>
      </c>
      <c r="J13" s="11" t="s">
        <v>186</v>
      </c>
      <c r="K13" s="11" t="s">
        <v>187</v>
      </c>
      <c r="L13" s="11">
        <v>656</v>
      </c>
      <c r="M13" s="11">
        <v>0</v>
      </c>
      <c r="N13" s="60" t="s">
        <v>10</v>
      </c>
      <c r="O13" s="630"/>
      <c r="P13" s="636"/>
      <c r="Q13" s="630"/>
    </row>
    <row r="14" spans="1:17" ht="25.5" customHeight="1" x14ac:dyDescent="0.25">
      <c r="A14" s="16">
        <v>44488</v>
      </c>
      <c r="B14" s="17">
        <v>2010696558</v>
      </c>
      <c r="C14" s="17" t="s">
        <v>0</v>
      </c>
      <c r="D14" s="128">
        <v>149057.13</v>
      </c>
      <c r="E14" s="17" t="s">
        <v>60</v>
      </c>
      <c r="F14" s="17" t="s">
        <v>2</v>
      </c>
      <c r="G14" s="17" t="s">
        <v>42</v>
      </c>
      <c r="H14" s="17" t="s">
        <v>30</v>
      </c>
      <c r="I14" s="17" t="s">
        <v>185</v>
      </c>
      <c r="J14" s="17" t="s">
        <v>186</v>
      </c>
      <c r="K14" s="17" t="s">
        <v>187</v>
      </c>
      <c r="L14" s="17">
        <v>879</v>
      </c>
      <c r="M14" s="17">
        <v>29260</v>
      </c>
      <c r="N14" s="61" t="s">
        <v>8</v>
      </c>
      <c r="O14" s="628">
        <v>45760.538910000003</v>
      </c>
      <c r="P14" s="643">
        <f>O14/D14*100</f>
        <v>30.7</v>
      </c>
      <c r="Q14" s="628">
        <f>D14/(L14+L15)</f>
        <v>84.787901023890782</v>
      </c>
    </row>
    <row r="15" spans="1:17" ht="25.5" customHeight="1" x14ac:dyDescent="0.25">
      <c r="A15" s="16">
        <v>44489</v>
      </c>
      <c r="B15" s="17">
        <v>2816753</v>
      </c>
      <c r="C15" s="17" t="s">
        <v>9</v>
      </c>
      <c r="D15" s="128">
        <v>0</v>
      </c>
      <c r="E15" s="17"/>
      <c r="F15" s="17" t="s">
        <v>42</v>
      </c>
      <c r="G15" s="17" t="s">
        <v>2</v>
      </c>
      <c r="H15" s="17" t="s">
        <v>30</v>
      </c>
      <c r="I15" s="17" t="s">
        <v>185</v>
      </c>
      <c r="J15" s="17" t="s">
        <v>186</v>
      </c>
      <c r="K15" s="17" t="s">
        <v>187</v>
      </c>
      <c r="L15" s="17">
        <v>879</v>
      </c>
      <c r="M15" s="17">
        <v>0</v>
      </c>
      <c r="N15" s="61" t="s">
        <v>10</v>
      </c>
      <c r="O15" s="628"/>
      <c r="P15" s="643"/>
      <c r="Q15" s="628"/>
    </row>
    <row r="16" spans="1:17" ht="25.5" customHeight="1" x14ac:dyDescent="0.25">
      <c r="A16" s="12">
        <v>44490</v>
      </c>
      <c r="B16" s="13">
        <v>2010708403</v>
      </c>
      <c r="C16" s="13" t="s">
        <v>0</v>
      </c>
      <c r="D16" s="127">
        <v>125108.71</v>
      </c>
      <c r="E16" s="13" t="s">
        <v>60</v>
      </c>
      <c r="F16" s="13" t="s">
        <v>2</v>
      </c>
      <c r="G16" s="13" t="s">
        <v>3</v>
      </c>
      <c r="H16" s="13" t="s">
        <v>30</v>
      </c>
      <c r="I16" s="13" t="s">
        <v>185</v>
      </c>
      <c r="J16" s="13" t="s">
        <v>186</v>
      </c>
      <c r="K16" s="13" t="s">
        <v>189</v>
      </c>
      <c r="L16" s="13">
        <v>740</v>
      </c>
      <c r="M16" s="13">
        <v>29580</v>
      </c>
      <c r="N16" s="62" t="s">
        <v>8</v>
      </c>
      <c r="O16" s="634">
        <v>38408.373970000001</v>
      </c>
      <c r="P16" s="639">
        <f>O16/D16*100</f>
        <v>30.7</v>
      </c>
      <c r="Q16" s="634">
        <f>D16/(L16+L17)</f>
        <v>84.532912162162162</v>
      </c>
    </row>
    <row r="17" spans="1:17" ht="25.5" customHeight="1" x14ac:dyDescent="0.25">
      <c r="A17" s="12">
        <v>44492</v>
      </c>
      <c r="B17" s="13">
        <v>2816734</v>
      </c>
      <c r="C17" s="13" t="s">
        <v>9</v>
      </c>
      <c r="D17" s="127">
        <v>0</v>
      </c>
      <c r="E17" s="13"/>
      <c r="F17" s="13" t="s">
        <v>3</v>
      </c>
      <c r="G17" s="13" t="s">
        <v>2</v>
      </c>
      <c r="H17" s="13" t="s">
        <v>30</v>
      </c>
      <c r="I17" s="13" t="s">
        <v>185</v>
      </c>
      <c r="J17" s="13" t="s">
        <v>186</v>
      </c>
      <c r="K17" s="13" t="s">
        <v>189</v>
      </c>
      <c r="L17" s="13">
        <v>740</v>
      </c>
      <c r="M17" s="13">
        <v>0</v>
      </c>
      <c r="N17" s="62" t="s">
        <v>10</v>
      </c>
      <c r="O17" s="634"/>
      <c r="P17" s="639"/>
      <c r="Q17" s="634"/>
    </row>
    <row r="18" spans="1:17" ht="25.5" customHeight="1" x14ac:dyDescent="0.25">
      <c r="A18" s="14">
        <v>44497</v>
      </c>
      <c r="B18" s="15">
        <v>2010722017</v>
      </c>
      <c r="C18" s="15" t="s">
        <v>0</v>
      </c>
      <c r="D18" s="129">
        <v>63987.32</v>
      </c>
      <c r="E18" s="15" t="s">
        <v>44</v>
      </c>
      <c r="F18" s="15" t="s">
        <v>2</v>
      </c>
      <c r="G18" s="15" t="s">
        <v>67</v>
      </c>
      <c r="H18" s="15" t="s">
        <v>30</v>
      </c>
      <c r="I18" s="15" t="s">
        <v>185</v>
      </c>
      <c r="J18" s="15" t="s">
        <v>186</v>
      </c>
      <c r="K18" s="15" t="s">
        <v>189</v>
      </c>
      <c r="L18" s="15">
        <v>359</v>
      </c>
      <c r="M18" s="15">
        <v>29420</v>
      </c>
      <c r="N18" s="63" t="s">
        <v>38</v>
      </c>
      <c r="O18" s="632">
        <v>19644.107240000001</v>
      </c>
      <c r="P18" s="646">
        <f>O18/D18*100</f>
        <v>30.7</v>
      </c>
      <c r="Q18" s="632">
        <f>D18/(L18+L19)</f>
        <v>89.118830083565456</v>
      </c>
    </row>
    <row r="19" spans="1:17" ht="25.5" customHeight="1" x14ac:dyDescent="0.25">
      <c r="A19" s="14">
        <v>44498</v>
      </c>
      <c r="B19" s="15">
        <v>2816705</v>
      </c>
      <c r="C19" s="15" t="s">
        <v>9</v>
      </c>
      <c r="D19" s="129">
        <v>0</v>
      </c>
      <c r="E19" s="15"/>
      <c r="F19" s="15" t="s">
        <v>67</v>
      </c>
      <c r="G19" s="15" t="s">
        <v>2</v>
      </c>
      <c r="H19" s="15" t="s">
        <v>30</v>
      </c>
      <c r="I19" s="15" t="s">
        <v>185</v>
      </c>
      <c r="J19" s="15" t="s">
        <v>186</v>
      </c>
      <c r="K19" s="15" t="s">
        <v>189</v>
      </c>
      <c r="L19" s="15">
        <v>359</v>
      </c>
      <c r="M19" s="15">
        <v>0</v>
      </c>
      <c r="N19" s="63" t="s">
        <v>10</v>
      </c>
      <c r="O19" s="632"/>
      <c r="P19" s="646"/>
      <c r="Q19" s="632"/>
    </row>
    <row r="20" spans="1:17" ht="25.5" customHeight="1" x14ac:dyDescent="0.25">
      <c r="A20" s="6">
        <v>44500</v>
      </c>
      <c r="B20" s="7">
        <v>2010721884</v>
      </c>
      <c r="C20" s="7" t="s">
        <v>0</v>
      </c>
      <c r="D20" s="8">
        <v>63987.32</v>
      </c>
      <c r="E20" s="7" t="s">
        <v>11</v>
      </c>
      <c r="F20" s="7" t="s">
        <v>2</v>
      </c>
      <c r="G20" s="7" t="s">
        <v>67</v>
      </c>
      <c r="H20" s="7" t="s">
        <v>30</v>
      </c>
      <c r="I20" s="7" t="s">
        <v>185</v>
      </c>
      <c r="J20" s="7" t="s">
        <v>186</v>
      </c>
      <c r="K20" s="7" t="s">
        <v>189</v>
      </c>
      <c r="L20" s="7">
        <v>359</v>
      </c>
      <c r="M20" s="7">
        <v>29100</v>
      </c>
      <c r="N20" s="9" t="s">
        <v>38</v>
      </c>
      <c r="O20" s="24">
        <v>19644.107240000001</v>
      </c>
      <c r="P20" s="28">
        <f>O20/D20*100</f>
        <v>30.7</v>
      </c>
      <c r="Q20" s="24">
        <f>D20/L20</f>
        <v>178.23766016713091</v>
      </c>
    </row>
    <row r="21" spans="1:17" x14ac:dyDescent="0.25">
      <c r="A21" s="9"/>
      <c r="B21" s="9"/>
      <c r="C21" s="9"/>
      <c r="D21" s="18">
        <f>SUM(D4:D20)</f>
        <v>969227.33999999985</v>
      </c>
      <c r="E21" s="9"/>
      <c r="F21" s="9"/>
      <c r="G21" s="9"/>
      <c r="H21" s="9"/>
      <c r="I21" s="9"/>
      <c r="J21" s="9"/>
      <c r="K21" s="9"/>
      <c r="L21" s="9">
        <f>SUM(L4:L20)</f>
        <v>10947</v>
      </c>
      <c r="M21" s="9"/>
      <c r="N21" s="9"/>
      <c r="O21" s="24">
        <f>SUM(O4:O20)</f>
        <v>297552.79337999999</v>
      </c>
      <c r="P21" s="28">
        <f>O21/D21*100</f>
        <v>30.700000000000006</v>
      </c>
      <c r="Q21" s="26">
        <f>D21/L21</f>
        <v>88.538169361468888</v>
      </c>
    </row>
    <row r="23" spans="1:17" x14ac:dyDescent="0.25">
      <c r="A23" s="99" t="s">
        <v>322</v>
      </c>
      <c r="B23" s="100" t="s">
        <v>328</v>
      </c>
      <c r="C23" s="101"/>
      <c r="D23" s="102"/>
    </row>
    <row r="24" spans="1:17" x14ac:dyDescent="0.25">
      <c r="A24" s="103">
        <f>D21/L21</f>
        <v>88.538169361468888</v>
      </c>
      <c r="B24" s="9"/>
      <c r="C24" s="104"/>
      <c r="D24" s="105"/>
    </row>
    <row r="25" spans="1:17" x14ac:dyDescent="0.25">
      <c r="D25" s="25"/>
    </row>
    <row r="26" spans="1:17" x14ac:dyDescent="0.25">
      <c r="A26" s="36"/>
      <c r="B26" s="36" t="s">
        <v>329</v>
      </c>
      <c r="C26" s="36" t="s">
        <v>330</v>
      </c>
      <c r="D26" s="106" t="s">
        <v>187</v>
      </c>
    </row>
    <row r="27" spans="1:17" x14ac:dyDescent="0.25">
      <c r="A27" s="7" t="s">
        <v>331</v>
      </c>
      <c r="B27" s="42">
        <f>D21</f>
        <v>969227.33999999985</v>
      </c>
      <c r="C27" s="45">
        <f>B28</f>
        <v>297552.79337999999</v>
      </c>
      <c r="D27" s="46">
        <f>C27/B27</f>
        <v>0.30700000000000005</v>
      </c>
    </row>
    <row r="28" spans="1:17" x14ac:dyDescent="0.25">
      <c r="A28" s="47" t="s">
        <v>27</v>
      </c>
      <c r="B28" s="24">
        <f>O21</f>
        <v>297552.79337999999</v>
      </c>
      <c r="C28" s="9"/>
      <c r="D28" s="25"/>
    </row>
    <row r="29" spans="1:17" x14ac:dyDescent="0.25">
      <c r="A29" s="48" t="s">
        <v>332</v>
      </c>
      <c r="B29" s="107"/>
      <c r="C29" s="49">
        <f>(12*(78578.313+12454.55))/(150000+80000)*L21</f>
        <v>51993.221804921734</v>
      </c>
      <c r="D29" s="25"/>
    </row>
    <row r="30" spans="1:17" x14ac:dyDescent="0.25">
      <c r="A30" s="48" t="s">
        <v>335</v>
      </c>
      <c r="B30" s="107"/>
      <c r="C30" s="42"/>
      <c r="D30" s="25"/>
    </row>
    <row r="31" spans="1:17" x14ac:dyDescent="0.25">
      <c r="A31" s="48" t="s">
        <v>336</v>
      </c>
      <c r="B31" s="107"/>
      <c r="C31" s="42">
        <f>'PATENTE MUNICIPAL'!I62</f>
        <v>20.833333333333332</v>
      </c>
      <c r="D31" s="25"/>
    </row>
    <row r="32" spans="1:17" x14ac:dyDescent="0.25">
      <c r="A32" s="48" t="s">
        <v>337</v>
      </c>
      <c r="B32" s="107"/>
      <c r="C32" s="42">
        <f>SEGURO!K66</f>
        <v>261.09831688804553</v>
      </c>
      <c r="D32" s="25"/>
    </row>
    <row r="33" spans="1:4" x14ac:dyDescent="0.25">
      <c r="A33" s="48" t="s">
        <v>339</v>
      </c>
      <c r="B33" s="107"/>
      <c r="C33" s="42"/>
      <c r="D33" s="25"/>
    </row>
    <row r="34" spans="1:4" x14ac:dyDescent="0.25">
      <c r="A34" s="48" t="s">
        <v>340</v>
      </c>
      <c r="B34" s="107"/>
      <c r="C34" s="51">
        <f>SUM(C29:C33)</f>
        <v>52275.153455143118</v>
      </c>
      <c r="D34" s="25"/>
    </row>
    <row r="35" spans="1:4" x14ac:dyDescent="0.25">
      <c r="A35" s="36" t="s">
        <v>341</v>
      </c>
      <c r="B35" s="107"/>
      <c r="C35" s="53">
        <f>C27-C28-C34</f>
        <v>245277.63992485686</v>
      </c>
      <c r="D35" s="106">
        <f>+B35+C35</f>
        <v>245277.63992485686</v>
      </c>
    </row>
  </sheetData>
  <sortState xmlns:xlrd2="http://schemas.microsoft.com/office/spreadsheetml/2017/richdata2" ref="A2:P19">
    <sortCondition ref="A1"/>
  </sortState>
  <mergeCells count="25">
    <mergeCell ref="A1:Q2"/>
    <mergeCell ref="Q6:Q7"/>
    <mergeCell ref="P6:P7"/>
    <mergeCell ref="O6:O7"/>
    <mergeCell ref="Q4:Q5"/>
    <mergeCell ref="P4:P5"/>
    <mergeCell ref="O4:O5"/>
    <mergeCell ref="Q10:Q11"/>
    <mergeCell ref="P10:P11"/>
    <mergeCell ref="O10:O11"/>
    <mergeCell ref="Q8:Q9"/>
    <mergeCell ref="P8:P9"/>
    <mergeCell ref="O8:O9"/>
    <mergeCell ref="Q14:Q15"/>
    <mergeCell ref="P14:P15"/>
    <mergeCell ref="O14:O15"/>
    <mergeCell ref="Q12:Q13"/>
    <mergeCell ref="P12:P13"/>
    <mergeCell ref="O12:O13"/>
    <mergeCell ref="Q18:Q19"/>
    <mergeCell ref="P18:P19"/>
    <mergeCell ref="O18:O19"/>
    <mergeCell ref="Q16:Q17"/>
    <mergeCell ref="P16:P17"/>
    <mergeCell ref="O16:O1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B050"/>
  </sheetPr>
  <dimension ref="A1:Q36"/>
  <sheetViews>
    <sheetView topLeftCell="A22" zoomScaleNormal="100" workbookViewId="0">
      <selection activeCell="C35" sqref="C35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44.28515625" style="2" bestFit="1" customWidth="1"/>
    <col min="8" max="8" width="10.5703125" style="2" bestFit="1" customWidth="1"/>
    <col min="9" max="9" width="25.42578125" style="2" bestFit="1" customWidth="1"/>
    <col min="10" max="10" width="8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7" t="s">
        <v>376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44472</v>
      </c>
      <c r="B4" s="11">
        <v>2010637615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94</v>
      </c>
      <c r="H4" s="11" t="s">
        <v>30</v>
      </c>
      <c r="I4" s="11" t="s">
        <v>256</v>
      </c>
      <c r="J4" s="11" t="s">
        <v>257</v>
      </c>
      <c r="K4" s="11" t="s">
        <v>258</v>
      </c>
      <c r="L4" s="11">
        <v>740</v>
      </c>
      <c r="M4" s="11">
        <v>29230</v>
      </c>
      <c r="N4" s="11" t="s">
        <v>8</v>
      </c>
      <c r="O4" s="637">
        <v>38408.373970000001</v>
      </c>
      <c r="P4" s="636">
        <f>O4/D4*100</f>
        <v>30.7</v>
      </c>
      <c r="Q4" s="630">
        <f>D4/(L4+L5)</f>
        <v>84.532912162162162</v>
      </c>
    </row>
    <row r="5" spans="1:17" ht="25.5" customHeight="1" x14ac:dyDescent="0.25">
      <c r="A5" s="10">
        <v>44473</v>
      </c>
      <c r="B5" s="11">
        <v>2816842</v>
      </c>
      <c r="C5" s="11" t="s">
        <v>9</v>
      </c>
      <c r="D5" s="125">
        <v>0</v>
      </c>
      <c r="E5" s="11"/>
      <c r="F5" s="11" t="s">
        <v>94</v>
      </c>
      <c r="G5" s="11" t="s">
        <v>2</v>
      </c>
      <c r="H5" s="11" t="s">
        <v>30</v>
      </c>
      <c r="I5" s="11" t="s">
        <v>256</v>
      </c>
      <c r="J5" s="11" t="s">
        <v>257</v>
      </c>
      <c r="K5" s="11" t="s">
        <v>258</v>
      </c>
      <c r="L5" s="11">
        <v>740</v>
      </c>
      <c r="M5" s="11">
        <v>0</v>
      </c>
      <c r="N5" s="11" t="s">
        <v>10</v>
      </c>
      <c r="O5" s="638"/>
      <c r="P5" s="636"/>
      <c r="Q5" s="630"/>
    </row>
    <row r="6" spans="1:17" ht="25.5" customHeight="1" x14ac:dyDescent="0.25">
      <c r="A6" s="16">
        <v>44475</v>
      </c>
      <c r="B6" s="17">
        <v>2010640521</v>
      </c>
      <c r="C6" s="17" t="s">
        <v>0</v>
      </c>
      <c r="D6" s="128">
        <v>149057.13</v>
      </c>
      <c r="E6" s="17" t="s">
        <v>34</v>
      </c>
      <c r="F6" s="17" t="s">
        <v>2</v>
      </c>
      <c r="G6" s="17" t="s">
        <v>42</v>
      </c>
      <c r="H6" s="17" t="s">
        <v>30</v>
      </c>
      <c r="I6" s="17" t="s">
        <v>256</v>
      </c>
      <c r="J6" s="17" t="s">
        <v>257</v>
      </c>
      <c r="K6" s="17" t="s">
        <v>258</v>
      </c>
      <c r="L6" s="17">
        <v>879</v>
      </c>
      <c r="M6" s="17">
        <v>29180</v>
      </c>
      <c r="N6" s="17" t="s">
        <v>8</v>
      </c>
      <c r="O6" s="644">
        <v>45760.538910000003</v>
      </c>
      <c r="P6" s="643">
        <f>O6/D6*100</f>
        <v>30.7</v>
      </c>
      <c r="Q6" s="628">
        <f>D6/(L6+L7)</f>
        <v>84.787901023890782</v>
      </c>
    </row>
    <row r="7" spans="1:17" ht="25.5" customHeight="1" x14ac:dyDescent="0.25">
      <c r="A7" s="16">
        <v>44476</v>
      </c>
      <c r="B7" s="17">
        <v>2816823</v>
      </c>
      <c r="C7" s="17" t="s">
        <v>9</v>
      </c>
      <c r="D7" s="128">
        <v>0</v>
      </c>
      <c r="E7" s="17"/>
      <c r="F7" s="17" t="s">
        <v>42</v>
      </c>
      <c r="G7" s="17" t="s">
        <v>2</v>
      </c>
      <c r="H7" s="17" t="s">
        <v>30</v>
      </c>
      <c r="I7" s="17" t="s">
        <v>256</v>
      </c>
      <c r="J7" s="17" t="s">
        <v>257</v>
      </c>
      <c r="K7" s="17" t="s">
        <v>258</v>
      </c>
      <c r="L7" s="17">
        <v>879</v>
      </c>
      <c r="M7" s="17">
        <v>0</v>
      </c>
      <c r="N7" s="17" t="s">
        <v>10</v>
      </c>
      <c r="O7" s="645"/>
      <c r="P7" s="643"/>
      <c r="Q7" s="628"/>
    </row>
    <row r="8" spans="1:17" ht="25.5" customHeight="1" x14ac:dyDescent="0.25">
      <c r="A8" s="12">
        <v>44479</v>
      </c>
      <c r="B8" s="13">
        <v>2010661324</v>
      </c>
      <c r="C8" s="13" t="s">
        <v>0</v>
      </c>
      <c r="D8" s="127">
        <v>125108.71</v>
      </c>
      <c r="E8" s="13" t="s">
        <v>36</v>
      </c>
      <c r="F8" s="13" t="s">
        <v>2</v>
      </c>
      <c r="G8" s="13" t="s">
        <v>35</v>
      </c>
      <c r="H8" s="13" t="s">
        <v>30</v>
      </c>
      <c r="I8" s="13" t="s">
        <v>256</v>
      </c>
      <c r="J8" s="13" t="s">
        <v>257</v>
      </c>
      <c r="K8" s="13" t="s">
        <v>258</v>
      </c>
      <c r="L8" s="13">
        <v>740</v>
      </c>
      <c r="M8" s="13">
        <v>29380</v>
      </c>
      <c r="N8" s="13" t="s">
        <v>8</v>
      </c>
      <c r="O8" s="640">
        <v>38408.373970000001</v>
      </c>
      <c r="P8" s="639">
        <f>O8/D8*100</f>
        <v>30.7</v>
      </c>
      <c r="Q8" s="634">
        <f>D8/(L8+L9)</f>
        <v>84.532912162162162</v>
      </c>
    </row>
    <row r="9" spans="1:17" ht="25.5" customHeight="1" x14ac:dyDescent="0.25">
      <c r="A9" s="12">
        <v>44481</v>
      </c>
      <c r="B9" s="13">
        <v>2816804</v>
      </c>
      <c r="C9" s="13" t="s">
        <v>9</v>
      </c>
      <c r="D9" s="127">
        <v>0</v>
      </c>
      <c r="E9" s="13"/>
      <c r="F9" s="13" t="s">
        <v>35</v>
      </c>
      <c r="G9" s="13" t="s">
        <v>2</v>
      </c>
      <c r="H9" s="13" t="s">
        <v>30</v>
      </c>
      <c r="I9" s="13" t="s">
        <v>256</v>
      </c>
      <c r="J9" s="13" t="s">
        <v>257</v>
      </c>
      <c r="K9" s="13" t="s">
        <v>258</v>
      </c>
      <c r="L9" s="13">
        <v>740</v>
      </c>
      <c r="M9" s="13">
        <v>0</v>
      </c>
      <c r="N9" s="13" t="s">
        <v>10</v>
      </c>
      <c r="O9" s="642"/>
      <c r="P9" s="639"/>
      <c r="Q9" s="634"/>
    </row>
    <row r="10" spans="1:17" ht="25.5" customHeight="1" x14ac:dyDescent="0.25">
      <c r="A10" s="14">
        <v>44483</v>
      </c>
      <c r="B10" s="15">
        <v>2010659585</v>
      </c>
      <c r="C10" s="15" t="s">
        <v>0</v>
      </c>
      <c r="D10" s="129">
        <v>125108.71</v>
      </c>
      <c r="E10" s="15" t="s">
        <v>39</v>
      </c>
      <c r="F10" s="15" t="s">
        <v>2</v>
      </c>
      <c r="G10" s="15" t="s">
        <v>139</v>
      </c>
      <c r="H10" s="15" t="s">
        <v>30</v>
      </c>
      <c r="I10" s="15" t="s">
        <v>256</v>
      </c>
      <c r="J10" s="15" t="s">
        <v>257</v>
      </c>
      <c r="K10" s="15" t="s">
        <v>258</v>
      </c>
      <c r="L10" s="15">
        <v>740</v>
      </c>
      <c r="M10" s="15">
        <v>28120</v>
      </c>
      <c r="N10" s="15" t="s">
        <v>38</v>
      </c>
      <c r="O10" s="647">
        <v>38408.373970000001</v>
      </c>
      <c r="P10" s="646">
        <f>O10/D10*100</f>
        <v>30.7</v>
      </c>
      <c r="Q10" s="632">
        <f>D10/(L10+L11)</f>
        <v>84.532912162162162</v>
      </c>
    </row>
    <row r="11" spans="1:17" ht="25.5" customHeight="1" x14ac:dyDescent="0.25">
      <c r="A11" s="14">
        <v>44484</v>
      </c>
      <c r="B11" s="15">
        <v>2816779</v>
      </c>
      <c r="C11" s="15" t="s">
        <v>9</v>
      </c>
      <c r="D11" s="129">
        <v>0</v>
      </c>
      <c r="E11" s="15"/>
      <c r="F11" s="15" t="s">
        <v>139</v>
      </c>
      <c r="G11" s="15" t="s">
        <v>2</v>
      </c>
      <c r="H11" s="15" t="s">
        <v>30</v>
      </c>
      <c r="I11" s="15" t="s">
        <v>256</v>
      </c>
      <c r="J11" s="15" t="s">
        <v>257</v>
      </c>
      <c r="K11" s="15" t="s">
        <v>258</v>
      </c>
      <c r="L11" s="15">
        <v>740</v>
      </c>
      <c r="M11" s="15">
        <v>0</v>
      </c>
      <c r="N11" s="15" t="s">
        <v>10</v>
      </c>
      <c r="O11" s="648"/>
      <c r="P11" s="646"/>
      <c r="Q11" s="632"/>
    </row>
    <row r="12" spans="1:17" ht="25.5" customHeight="1" x14ac:dyDescent="0.25">
      <c r="A12" s="10">
        <v>44486</v>
      </c>
      <c r="B12" s="11">
        <v>2010694044</v>
      </c>
      <c r="C12" s="11" t="s">
        <v>0</v>
      </c>
      <c r="D12" s="125">
        <v>125108.71</v>
      </c>
      <c r="E12" s="11" t="s">
        <v>41</v>
      </c>
      <c r="F12" s="11" t="s">
        <v>2</v>
      </c>
      <c r="G12" s="11" t="s">
        <v>12</v>
      </c>
      <c r="H12" s="11" t="s">
        <v>30</v>
      </c>
      <c r="I12" s="11" t="s">
        <v>256</v>
      </c>
      <c r="J12" s="11" t="s">
        <v>257</v>
      </c>
      <c r="K12" s="11" t="s">
        <v>258</v>
      </c>
      <c r="L12" s="11">
        <v>740</v>
      </c>
      <c r="M12" s="11">
        <v>29240</v>
      </c>
      <c r="N12" s="11" t="s">
        <v>8</v>
      </c>
      <c r="O12" s="637">
        <v>38408.373970000001</v>
      </c>
      <c r="P12" s="636">
        <f>O12/D12*100</f>
        <v>30.7</v>
      </c>
      <c r="Q12" s="630">
        <f>D12/(L12+L13)</f>
        <v>84.532912162162162</v>
      </c>
    </row>
    <row r="13" spans="1:17" ht="25.5" customHeight="1" x14ac:dyDescent="0.25">
      <c r="A13" s="10">
        <v>44488</v>
      </c>
      <c r="B13" s="11">
        <v>2816758</v>
      </c>
      <c r="C13" s="11" t="s">
        <v>9</v>
      </c>
      <c r="D13" s="125">
        <v>0</v>
      </c>
      <c r="E13" s="11"/>
      <c r="F13" s="11" t="s">
        <v>12</v>
      </c>
      <c r="G13" s="11" t="s">
        <v>2</v>
      </c>
      <c r="H13" s="11" t="s">
        <v>30</v>
      </c>
      <c r="I13" s="11" t="s">
        <v>256</v>
      </c>
      <c r="J13" s="11" t="s">
        <v>257</v>
      </c>
      <c r="K13" s="11" t="s">
        <v>258</v>
      </c>
      <c r="L13" s="11">
        <v>740</v>
      </c>
      <c r="M13" s="11">
        <v>0</v>
      </c>
      <c r="N13" s="11" t="s">
        <v>10</v>
      </c>
      <c r="O13" s="638"/>
      <c r="P13" s="636"/>
      <c r="Q13" s="630"/>
    </row>
    <row r="14" spans="1:17" ht="25.5" customHeight="1" x14ac:dyDescent="0.25">
      <c r="A14" s="16">
        <v>44489</v>
      </c>
      <c r="B14" s="17">
        <v>2010694255</v>
      </c>
      <c r="C14" s="17" t="s">
        <v>0</v>
      </c>
      <c r="D14" s="128">
        <v>125108.71</v>
      </c>
      <c r="E14" s="17" t="s">
        <v>60</v>
      </c>
      <c r="F14" s="17" t="s">
        <v>2</v>
      </c>
      <c r="G14" s="17" t="s">
        <v>35</v>
      </c>
      <c r="H14" s="17" t="s">
        <v>30</v>
      </c>
      <c r="I14" s="17" t="s">
        <v>256</v>
      </c>
      <c r="J14" s="17" t="s">
        <v>257</v>
      </c>
      <c r="K14" s="17" t="s">
        <v>258</v>
      </c>
      <c r="L14" s="17">
        <v>740</v>
      </c>
      <c r="M14" s="17">
        <v>29430</v>
      </c>
      <c r="N14" s="17" t="s">
        <v>8</v>
      </c>
      <c r="O14" s="644">
        <v>38408.373970000001</v>
      </c>
      <c r="P14" s="643">
        <f>O14/D14*100</f>
        <v>30.7</v>
      </c>
      <c r="Q14" s="628">
        <f>D14/(L14+L15)</f>
        <v>84.532912162162162</v>
      </c>
    </row>
    <row r="15" spans="1:17" ht="25.5" customHeight="1" x14ac:dyDescent="0.25">
      <c r="A15" s="16">
        <v>44491</v>
      </c>
      <c r="B15" s="17">
        <v>2816741</v>
      </c>
      <c r="C15" s="17" t="s">
        <v>9</v>
      </c>
      <c r="D15" s="128">
        <v>0</v>
      </c>
      <c r="E15" s="17"/>
      <c r="F15" s="17" t="s">
        <v>35</v>
      </c>
      <c r="G15" s="17" t="s">
        <v>2</v>
      </c>
      <c r="H15" s="17" t="s">
        <v>30</v>
      </c>
      <c r="I15" s="17" t="s">
        <v>256</v>
      </c>
      <c r="J15" s="17" t="s">
        <v>257</v>
      </c>
      <c r="K15" s="17" t="s">
        <v>258</v>
      </c>
      <c r="L15" s="17">
        <v>740</v>
      </c>
      <c r="M15" s="17">
        <v>0</v>
      </c>
      <c r="N15" s="17" t="s">
        <v>10</v>
      </c>
      <c r="O15" s="645"/>
      <c r="P15" s="643"/>
      <c r="Q15" s="628"/>
    </row>
    <row r="16" spans="1:17" ht="25.5" customHeight="1" x14ac:dyDescent="0.25">
      <c r="A16" s="12">
        <v>44493</v>
      </c>
      <c r="B16" s="13" t="s">
        <v>259</v>
      </c>
      <c r="C16" s="13" t="s">
        <v>0</v>
      </c>
      <c r="D16" s="127">
        <v>125108.71</v>
      </c>
      <c r="E16" s="13" t="s">
        <v>1</v>
      </c>
      <c r="F16" s="13" t="s">
        <v>2</v>
      </c>
      <c r="G16" s="13" t="s">
        <v>162</v>
      </c>
      <c r="H16" s="13" t="s">
        <v>30</v>
      </c>
      <c r="I16" s="13" t="s">
        <v>256</v>
      </c>
      <c r="J16" s="13" t="s">
        <v>257</v>
      </c>
      <c r="K16" s="13" t="s">
        <v>258</v>
      </c>
      <c r="L16" s="13">
        <v>740</v>
      </c>
      <c r="M16" s="13">
        <v>28860</v>
      </c>
      <c r="N16" s="13" t="s">
        <v>8</v>
      </c>
      <c r="O16" s="640">
        <v>38408.373970000001</v>
      </c>
      <c r="P16" s="639">
        <f>O16/D16*100</f>
        <v>30.7</v>
      </c>
      <c r="Q16" s="634">
        <f>D16/(L16+L17)</f>
        <v>84.532912162162162</v>
      </c>
    </row>
    <row r="17" spans="1:17" ht="25.5" customHeight="1" x14ac:dyDescent="0.25">
      <c r="A17" s="12">
        <v>44494</v>
      </c>
      <c r="B17" s="13">
        <v>2816724</v>
      </c>
      <c r="C17" s="13" t="s">
        <v>9</v>
      </c>
      <c r="D17" s="127">
        <v>0</v>
      </c>
      <c r="E17" s="13"/>
      <c r="F17" s="13" t="s">
        <v>162</v>
      </c>
      <c r="G17" s="13" t="s">
        <v>2</v>
      </c>
      <c r="H17" s="13" t="s">
        <v>30</v>
      </c>
      <c r="I17" s="13" t="s">
        <v>256</v>
      </c>
      <c r="J17" s="13" t="s">
        <v>257</v>
      </c>
      <c r="K17" s="13" t="s">
        <v>258</v>
      </c>
      <c r="L17" s="13">
        <v>740</v>
      </c>
      <c r="M17" s="13">
        <v>0</v>
      </c>
      <c r="N17" s="13" t="s">
        <v>10</v>
      </c>
      <c r="O17" s="642"/>
      <c r="P17" s="639"/>
      <c r="Q17" s="634"/>
    </row>
    <row r="18" spans="1:17" ht="25.5" customHeight="1" x14ac:dyDescent="0.25">
      <c r="A18" s="14">
        <v>44496</v>
      </c>
      <c r="B18" s="15">
        <v>2010715473</v>
      </c>
      <c r="C18" s="15" t="s">
        <v>0</v>
      </c>
      <c r="D18" s="129">
        <v>125108.71</v>
      </c>
      <c r="E18" s="15" t="s">
        <v>44</v>
      </c>
      <c r="F18" s="15" t="s">
        <v>2</v>
      </c>
      <c r="G18" s="15" t="s">
        <v>3</v>
      </c>
      <c r="H18" s="15" t="s">
        <v>30</v>
      </c>
      <c r="I18" s="15" t="s">
        <v>256</v>
      </c>
      <c r="J18" s="15" t="s">
        <v>257</v>
      </c>
      <c r="K18" s="15" t="s">
        <v>258</v>
      </c>
      <c r="L18" s="15">
        <v>740</v>
      </c>
      <c r="M18" s="15">
        <v>29200</v>
      </c>
      <c r="N18" s="15" t="s">
        <v>8</v>
      </c>
      <c r="O18" s="647">
        <v>38408.373970000001</v>
      </c>
      <c r="P18" s="646">
        <f>O18/D18*100</f>
        <v>30.7</v>
      </c>
      <c r="Q18" s="632">
        <f>D18/(L18+L19)</f>
        <v>84.532912162162162</v>
      </c>
    </row>
    <row r="19" spans="1:17" ht="25.5" customHeight="1" x14ac:dyDescent="0.25">
      <c r="A19" s="14">
        <v>44497</v>
      </c>
      <c r="B19" s="15">
        <v>2816713</v>
      </c>
      <c r="C19" s="15" t="s">
        <v>9</v>
      </c>
      <c r="D19" s="129">
        <v>0</v>
      </c>
      <c r="E19" s="15"/>
      <c r="F19" s="15" t="s">
        <v>3</v>
      </c>
      <c r="G19" s="15" t="s">
        <v>2</v>
      </c>
      <c r="H19" s="15" t="s">
        <v>30</v>
      </c>
      <c r="I19" s="15" t="s">
        <v>256</v>
      </c>
      <c r="J19" s="15" t="s">
        <v>257</v>
      </c>
      <c r="K19" s="15" t="s">
        <v>258</v>
      </c>
      <c r="L19" s="15">
        <v>740</v>
      </c>
      <c r="M19" s="15">
        <v>0</v>
      </c>
      <c r="N19" s="15" t="s">
        <v>10</v>
      </c>
      <c r="O19" s="648"/>
      <c r="P19" s="646"/>
      <c r="Q19" s="632"/>
    </row>
    <row r="20" spans="1:17" ht="25.5" customHeight="1" x14ac:dyDescent="0.25">
      <c r="A20" s="73">
        <v>44500</v>
      </c>
      <c r="B20" s="60">
        <v>2010749259</v>
      </c>
      <c r="C20" s="60" t="s">
        <v>0</v>
      </c>
      <c r="D20" s="124">
        <v>104707.38</v>
      </c>
      <c r="E20" s="60" t="s">
        <v>260</v>
      </c>
      <c r="F20" s="60" t="s">
        <v>2</v>
      </c>
      <c r="G20" s="60" t="s">
        <v>109</v>
      </c>
      <c r="H20" s="60" t="s">
        <v>30</v>
      </c>
      <c r="I20" s="60" t="s">
        <v>256</v>
      </c>
      <c r="J20" s="60" t="s">
        <v>257</v>
      </c>
      <c r="K20" s="60" t="s">
        <v>258</v>
      </c>
      <c r="L20" s="60">
        <v>606</v>
      </c>
      <c r="M20" s="60">
        <v>29070</v>
      </c>
      <c r="N20" s="60" t="s">
        <v>110</v>
      </c>
      <c r="O20" s="637">
        <f>(D20+D21)*30.7/100</f>
        <v>41478.883589999998</v>
      </c>
      <c r="P20" s="636">
        <f>O20/(D20+D21)*100</f>
        <v>30.7</v>
      </c>
      <c r="Q20" s="630">
        <f>(D20+D21)/(L20+L21)</f>
        <v>222.95440594059406</v>
      </c>
    </row>
    <row r="21" spans="1:17" ht="25.5" customHeight="1" x14ac:dyDescent="0.25">
      <c r="A21" s="73">
        <v>44500</v>
      </c>
      <c r="B21" s="60" t="s">
        <v>261</v>
      </c>
      <c r="C21" s="60" t="s">
        <v>0</v>
      </c>
      <c r="D21" s="124">
        <v>30402.99</v>
      </c>
      <c r="E21" s="60" t="s">
        <v>103</v>
      </c>
      <c r="F21" s="60" t="s">
        <v>2</v>
      </c>
      <c r="G21" s="60" t="s">
        <v>109</v>
      </c>
      <c r="H21" s="60" t="s">
        <v>30</v>
      </c>
      <c r="I21" s="60" t="s">
        <v>256</v>
      </c>
      <c r="J21" s="60" t="s">
        <v>257</v>
      </c>
      <c r="K21" s="60" t="s">
        <v>258</v>
      </c>
      <c r="L21" s="60">
        <v>0</v>
      </c>
      <c r="M21" s="60">
        <v>0</v>
      </c>
      <c r="N21" s="60" t="s">
        <v>110</v>
      </c>
      <c r="O21" s="638"/>
      <c r="P21" s="636"/>
      <c r="Q21" s="630"/>
    </row>
    <row r="22" spans="1:17" x14ac:dyDescent="0.25">
      <c r="A22" s="9"/>
      <c r="B22" s="9"/>
      <c r="C22" s="9"/>
      <c r="D22" s="18">
        <f>SUM(D4:D21)</f>
        <v>1159928.47</v>
      </c>
      <c r="E22" s="9"/>
      <c r="F22" s="9"/>
      <c r="G22" s="9"/>
      <c r="H22" s="9"/>
      <c r="I22" s="9"/>
      <c r="J22" s="9"/>
      <c r="K22" s="9"/>
      <c r="L22" s="9">
        <f>SUM(L4:L21)</f>
        <v>12724</v>
      </c>
      <c r="M22" s="9"/>
      <c r="N22" s="9"/>
      <c r="O22" s="24">
        <f>SUM(O4:O21)</f>
        <v>356098.04029000003</v>
      </c>
      <c r="P22" s="28">
        <f>O22/D22*100</f>
        <v>30.700000000000006</v>
      </c>
      <c r="Q22" s="26">
        <f>D22/L22</f>
        <v>91.160678245834646</v>
      </c>
    </row>
    <row r="24" spans="1:17" x14ac:dyDescent="0.25">
      <c r="A24" s="99" t="s">
        <v>322</v>
      </c>
      <c r="B24" s="100" t="s">
        <v>328</v>
      </c>
      <c r="C24" s="101"/>
      <c r="D24" s="102"/>
    </row>
    <row r="25" spans="1:17" x14ac:dyDescent="0.25">
      <c r="A25" s="103">
        <f>D22/L22</f>
        <v>91.160678245834646</v>
      </c>
      <c r="B25" s="9"/>
      <c r="C25" s="104"/>
      <c r="D25" s="105"/>
    </row>
    <row r="26" spans="1:17" x14ac:dyDescent="0.25">
      <c r="D26" s="25"/>
    </row>
    <row r="27" spans="1:17" x14ac:dyDescent="0.25">
      <c r="A27" s="36"/>
      <c r="B27" s="36" t="s">
        <v>329</v>
      </c>
      <c r="C27" s="36" t="s">
        <v>330</v>
      </c>
      <c r="D27" s="106" t="s">
        <v>258</v>
      </c>
    </row>
    <row r="28" spans="1:17" x14ac:dyDescent="0.25">
      <c r="A28" s="7" t="s">
        <v>331</v>
      </c>
      <c r="B28" s="42">
        <f>D22</f>
        <v>1159928.47</v>
      </c>
      <c r="C28" s="45">
        <f>B29</f>
        <v>356098.04029000003</v>
      </c>
      <c r="D28" s="46">
        <f>C28/B28</f>
        <v>0.30700000000000005</v>
      </c>
    </row>
    <row r="29" spans="1:17" x14ac:dyDescent="0.25">
      <c r="A29" s="47" t="s">
        <v>27</v>
      </c>
      <c r="B29" s="24">
        <f>O22</f>
        <v>356098.04029000003</v>
      </c>
      <c r="C29" s="9"/>
      <c r="D29" s="25"/>
    </row>
    <row r="30" spans="1:17" x14ac:dyDescent="0.25">
      <c r="A30" s="48" t="s">
        <v>332</v>
      </c>
      <c r="B30" s="107"/>
      <c r="C30" s="49">
        <f>(12*(78578.313+12454.55))/(150000+80000)*L22</f>
        <v>60433.155590191302</v>
      </c>
      <c r="D30" s="25"/>
    </row>
    <row r="31" spans="1:17" x14ac:dyDescent="0.25">
      <c r="A31" s="48" t="s">
        <v>335</v>
      </c>
      <c r="B31" s="107"/>
      <c r="C31" s="42">
        <f>'PATENTE PROVINCIAL'!N63</f>
        <v>672.6</v>
      </c>
      <c r="D31" s="25"/>
    </row>
    <row r="32" spans="1:17" x14ac:dyDescent="0.25">
      <c r="A32" s="48" t="s">
        <v>336</v>
      </c>
      <c r="B32" s="107"/>
      <c r="C32" s="42">
        <f>'PATENTE MUNICIPAL'!I70</f>
        <v>941.15666666666664</v>
      </c>
      <c r="D32" s="25"/>
    </row>
    <row r="33" spans="1:4" x14ac:dyDescent="0.25">
      <c r="A33" s="48" t="s">
        <v>337</v>
      </c>
      <c r="B33" s="107"/>
      <c r="C33" s="42">
        <f>SEGURO!K74</f>
        <v>261.09831688804553</v>
      </c>
      <c r="D33" s="25"/>
    </row>
    <row r="34" spans="1:4" x14ac:dyDescent="0.25">
      <c r="A34" s="48" t="s">
        <v>339</v>
      </c>
      <c r="B34" s="107"/>
      <c r="C34" s="42">
        <f>'GASTOS SEMI'!H183</f>
        <v>66290.12000000001</v>
      </c>
      <c r="D34" s="25"/>
    </row>
    <row r="35" spans="1:4" x14ac:dyDescent="0.25">
      <c r="A35" s="48" t="s">
        <v>340</v>
      </c>
      <c r="B35" s="107"/>
      <c r="C35" s="51">
        <f>SUM(C30:C34)</f>
        <v>128598.13057374602</v>
      </c>
      <c r="D35" s="25"/>
    </row>
    <row r="36" spans="1:4" x14ac:dyDescent="0.25">
      <c r="A36" s="36" t="s">
        <v>341</v>
      </c>
      <c r="B36" s="107"/>
      <c r="C36" s="53">
        <f>C28-C29-C35</f>
        <v>227499.90971625401</v>
      </c>
      <c r="D36" s="106">
        <f>+B36+C36</f>
        <v>227499.90971625401</v>
      </c>
    </row>
  </sheetData>
  <sortState xmlns:xlrd2="http://schemas.microsoft.com/office/spreadsheetml/2017/richdata2" ref="A2:P20">
    <sortCondition ref="A1"/>
  </sortState>
  <mergeCells count="28">
    <mergeCell ref="A1:Q2"/>
    <mergeCell ref="Q6:Q7"/>
    <mergeCell ref="P6:P7"/>
    <mergeCell ref="O6:O7"/>
    <mergeCell ref="Q4:Q5"/>
    <mergeCell ref="P4:P5"/>
    <mergeCell ref="O4:O5"/>
    <mergeCell ref="Q10:Q11"/>
    <mergeCell ref="P10:P11"/>
    <mergeCell ref="O10:O11"/>
    <mergeCell ref="Q8:Q9"/>
    <mergeCell ref="P8:P9"/>
    <mergeCell ref="O8:O9"/>
    <mergeCell ref="Q14:Q15"/>
    <mergeCell ref="P14:P15"/>
    <mergeCell ref="O14:O15"/>
    <mergeCell ref="Q12:Q13"/>
    <mergeCell ref="P12:P13"/>
    <mergeCell ref="O12:O13"/>
    <mergeCell ref="Q16:Q17"/>
    <mergeCell ref="P16:P17"/>
    <mergeCell ref="O16:O17"/>
    <mergeCell ref="O20:O21"/>
    <mergeCell ref="Q20:Q21"/>
    <mergeCell ref="P20:P21"/>
    <mergeCell ref="Q18:Q19"/>
    <mergeCell ref="P18:P19"/>
    <mergeCell ref="O18:O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M26"/>
  <sheetViews>
    <sheetView topLeftCell="A7" workbookViewId="0">
      <selection activeCell="K19" sqref="K19"/>
    </sheetView>
  </sheetViews>
  <sheetFormatPr baseColWidth="10" defaultRowHeight="15" x14ac:dyDescent="0.25"/>
  <cols>
    <col min="3" max="3" width="14.5703125" bestFit="1" customWidth="1"/>
    <col min="6" max="6" width="12" customWidth="1"/>
    <col min="7" max="7" width="10.7109375" customWidth="1"/>
  </cols>
  <sheetData>
    <row r="1" spans="1:9" x14ac:dyDescent="0.25">
      <c r="A1" s="617" t="s">
        <v>1160</v>
      </c>
      <c r="B1" s="617"/>
      <c r="C1" s="617"/>
      <c r="E1" s="258"/>
      <c r="F1" s="617" t="s">
        <v>1109</v>
      </c>
      <c r="G1" s="617"/>
      <c r="H1" s="617"/>
    </row>
    <row r="2" spans="1:9" x14ac:dyDescent="0.25">
      <c r="A2" s="617"/>
      <c r="B2" s="617"/>
      <c r="C2" s="617"/>
      <c r="E2" s="258"/>
      <c r="F2" s="617"/>
      <c r="G2" s="617"/>
      <c r="H2" s="617"/>
    </row>
    <row r="3" spans="1:9" x14ac:dyDescent="0.25">
      <c r="A3" s="343" t="s">
        <v>506</v>
      </c>
      <c r="B3" s="343" t="s">
        <v>533</v>
      </c>
      <c r="C3" s="343" t="s">
        <v>706</v>
      </c>
      <c r="E3" s="258"/>
      <c r="F3" s="343" t="s">
        <v>506</v>
      </c>
      <c r="G3" s="343" t="s">
        <v>533</v>
      </c>
      <c r="H3" s="343" t="s">
        <v>706</v>
      </c>
    </row>
    <row r="4" spans="1:9" x14ac:dyDescent="0.25">
      <c r="A4" s="9" t="s">
        <v>146</v>
      </c>
      <c r="B4" s="136" t="s">
        <v>535</v>
      </c>
      <c r="C4" s="300">
        <f>AD414GZ_VIAR!L23</f>
        <v>10541</v>
      </c>
      <c r="E4" s="344"/>
      <c r="F4" s="136" t="s">
        <v>242</v>
      </c>
      <c r="G4" s="136" t="s">
        <v>1161</v>
      </c>
      <c r="H4" s="345">
        <f>KHL103_ARDILES!L18</f>
        <v>7394</v>
      </c>
    </row>
    <row r="5" spans="1:9" x14ac:dyDescent="0.25">
      <c r="A5" s="9" t="s">
        <v>150</v>
      </c>
      <c r="B5" s="136" t="s">
        <v>535</v>
      </c>
      <c r="C5" s="300">
        <f>AD533SA_VIAR!L29</f>
        <v>13160</v>
      </c>
      <c r="E5" s="344"/>
      <c r="F5" s="136" t="s">
        <v>278</v>
      </c>
      <c r="G5" s="136" t="s">
        <v>1162</v>
      </c>
      <c r="H5" s="345">
        <f>'KSS334_CUGNO E'!L17</f>
        <v>6490</v>
      </c>
    </row>
    <row r="6" spans="1:9" x14ac:dyDescent="0.25">
      <c r="A6" s="9" t="s">
        <v>174</v>
      </c>
      <c r="B6" s="136" t="s">
        <v>535</v>
      </c>
      <c r="C6" s="345">
        <f>FWT827_VIAR!L36</f>
        <v>9820</v>
      </c>
      <c r="E6" s="344"/>
      <c r="F6" s="136" t="s">
        <v>252</v>
      </c>
      <c r="G6" s="136" t="s">
        <v>1163</v>
      </c>
      <c r="H6" s="345">
        <f>'KNA501_CUGNO G'!L25</f>
        <v>11115</v>
      </c>
    </row>
    <row r="7" spans="1:9" x14ac:dyDescent="0.25">
      <c r="A7" s="9" t="s">
        <v>199</v>
      </c>
      <c r="B7" s="136" t="s">
        <v>535</v>
      </c>
      <c r="C7" s="345">
        <f>HWF024_VIAR!L15</f>
        <v>9911</v>
      </c>
      <c r="E7" s="344"/>
      <c r="F7" s="136" t="s">
        <v>182</v>
      </c>
      <c r="G7" s="136" t="s">
        <v>1163</v>
      </c>
      <c r="H7" s="345">
        <f>'HPJ126_CUGNO G'!L19</f>
        <v>7966</v>
      </c>
    </row>
    <row r="8" spans="1:9" x14ac:dyDescent="0.25">
      <c r="A8" s="9" t="s">
        <v>207</v>
      </c>
      <c r="B8" s="136" t="s">
        <v>535</v>
      </c>
      <c r="C8" s="345">
        <f>HWF026_VIAR!L19</f>
        <v>12067</v>
      </c>
      <c r="E8" s="344"/>
      <c r="F8" s="136" t="s">
        <v>308</v>
      </c>
      <c r="G8" s="136" t="s">
        <v>1164</v>
      </c>
      <c r="H8" s="345">
        <f>'MMN880_CUGNO M'!L26</f>
        <v>12006</v>
      </c>
    </row>
    <row r="9" spans="1:9" x14ac:dyDescent="0.25">
      <c r="A9" s="9" t="s">
        <v>228</v>
      </c>
      <c r="B9" s="136" t="s">
        <v>535</v>
      </c>
      <c r="C9" s="345">
        <f>JRY934_VIAR!L26</f>
        <v>12445</v>
      </c>
      <c r="E9" s="344"/>
      <c r="F9" s="136" t="s">
        <v>224</v>
      </c>
      <c r="G9" s="136" t="s">
        <v>1165</v>
      </c>
      <c r="H9" s="345">
        <f>JJA110_GENTA!L21</f>
        <v>9672</v>
      </c>
    </row>
    <row r="10" spans="1:9" x14ac:dyDescent="0.25">
      <c r="A10" s="9" t="s">
        <v>245</v>
      </c>
      <c r="B10" s="136" t="s">
        <v>535</v>
      </c>
      <c r="C10" s="345">
        <f>KMU56_VIAR!L21</f>
        <v>7668</v>
      </c>
      <c r="E10" s="344"/>
      <c r="F10" s="136" t="s">
        <v>48</v>
      </c>
      <c r="G10" s="136" t="s">
        <v>1166</v>
      </c>
      <c r="H10" s="345">
        <f>AA702TE_GIACONE!L9</f>
        <v>2844</v>
      </c>
    </row>
    <row r="11" spans="1:9" x14ac:dyDescent="0.25">
      <c r="A11" s="9" t="s">
        <v>269</v>
      </c>
      <c r="B11" s="136" t="s">
        <v>535</v>
      </c>
      <c r="C11" s="345">
        <f>KOL760_VIAR!L22</f>
        <v>9590</v>
      </c>
      <c r="E11" s="344"/>
      <c r="F11" s="136" t="s">
        <v>72</v>
      </c>
      <c r="G11" s="136" t="s">
        <v>1167</v>
      </c>
      <c r="H11" s="345">
        <f>AB595CA_GUAL!L24</f>
        <v>11683</v>
      </c>
    </row>
    <row r="12" spans="1:9" x14ac:dyDescent="0.25">
      <c r="A12" s="9" t="s">
        <v>285</v>
      </c>
      <c r="B12" s="136" t="s">
        <v>535</v>
      </c>
      <c r="C12" s="345">
        <f>LUY734_VIAR!L29</f>
        <v>8932</v>
      </c>
      <c r="E12" s="344"/>
      <c r="F12" s="136" t="s">
        <v>1168</v>
      </c>
      <c r="G12" s="136" t="s">
        <v>1167</v>
      </c>
      <c r="H12" s="345"/>
    </row>
    <row r="13" spans="1:9" x14ac:dyDescent="0.25">
      <c r="A13" s="9" t="s">
        <v>288</v>
      </c>
      <c r="B13" s="136" t="s">
        <v>535</v>
      </c>
      <c r="C13" s="345">
        <f>MAV483_VIAR!L26</f>
        <v>10892</v>
      </c>
      <c r="E13" s="344"/>
      <c r="F13" s="136" t="s">
        <v>1169</v>
      </c>
      <c r="G13" s="136" t="s">
        <v>1170</v>
      </c>
      <c r="H13" s="345"/>
    </row>
    <row r="14" spans="1:9" x14ac:dyDescent="0.25">
      <c r="A14" s="9" t="s">
        <v>302</v>
      </c>
      <c r="B14" s="136" t="s">
        <v>535</v>
      </c>
      <c r="C14" s="345">
        <f>MMN838_VIAR!L26</f>
        <v>11750</v>
      </c>
      <c r="E14" s="344"/>
      <c r="F14" s="617" t="s">
        <v>1171</v>
      </c>
      <c r="G14" s="617"/>
      <c r="H14" s="346">
        <f>SUM(H4:H13)</f>
        <v>69170</v>
      </c>
    </row>
    <row r="15" spans="1:9" x14ac:dyDescent="0.25">
      <c r="A15" s="9" t="s">
        <v>316</v>
      </c>
      <c r="B15" s="136" t="s">
        <v>535</v>
      </c>
      <c r="C15" s="345">
        <f>ORO021_VIAR!L21</f>
        <v>10245</v>
      </c>
      <c r="E15" s="344"/>
      <c r="F15" s="617" t="s">
        <v>1172</v>
      </c>
      <c r="G15" s="617"/>
      <c r="H15" s="346">
        <f>H14-C17</f>
        <v>-67392</v>
      </c>
      <c r="I15" t="s">
        <v>1173</v>
      </c>
    </row>
    <row r="16" spans="1:9" x14ac:dyDescent="0.25">
      <c r="A16" s="9" t="s">
        <v>319</v>
      </c>
      <c r="B16" s="136" t="s">
        <v>535</v>
      </c>
      <c r="C16" s="345">
        <f>OXJ862_VIAR!L23</f>
        <v>9541</v>
      </c>
      <c r="E16" s="258"/>
    </row>
    <row r="17" spans="1:13" x14ac:dyDescent="0.25">
      <c r="A17" s="617" t="s">
        <v>1171</v>
      </c>
      <c r="B17" s="617"/>
      <c r="C17" s="346">
        <f>SUM(C4:C16)</f>
        <v>136562</v>
      </c>
      <c r="F17" s="617" t="s">
        <v>1174</v>
      </c>
      <c r="G17" s="617"/>
      <c r="H17" s="617"/>
      <c r="I17" s="347">
        <f>C17/13</f>
        <v>10504.76923076923</v>
      </c>
      <c r="J17" s="2"/>
      <c r="K17" s="2"/>
      <c r="L17" s="2"/>
      <c r="M17" s="2"/>
    </row>
    <row r="18" spans="1:13" x14ac:dyDescent="0.25">
      <c r="F18" s="617" t="s">
        <v>1175</v>
      </c>
      <c r="G18" s="617"/>
      <c r="H18" s="617"/>
      <c r="I18" s="347">
        <f>H14/8</f>
        <v>8646.25</v>
      </c>
      <c r="J18" s="2"/>
      <c r="K18" s="2"/>
      <c r="L18" s="2"/>
      <c r="M18" s="2"/>
    </row>
    <row r="19" spans="1:13" s="2" customFormat="1" ht="15" customHeight="1" x14ac:dyDescent="0.25">
      <c r="A19" s="618" t="s">
        <v>1176</v>
      </c>
      <c r="B19" s="619"/>
      <c r="C19" s="622">
        <v>4096093.92</v>
      </c>
      <c r="F19" s="617" t="s">
        <v>1177</v>
      </c>
      <c r="G19" s="617"/>
      <c r="H19" s="617"/>
      <c r="I19" s="348">
        <f>(C17+H14)/21</f>
        <v>9796.7619047619046</v>
      </c>
    </row>
    <row r="20" spans="1:13" s="2" customFormat="1" x14ac:dyDescent="0.25">
      <c r="A20" s="620"/>
      <c r="B20" s="621"/>
      <c r="C20" s="623"/>
      <c r="F20" s="624"/>
      <c r="G20" s="624"/>
      <c r="H20" s="624"/>
      <c r="I20" s="349"/>
      <c r="J20" s="2" t="s">
        <v>1178</v>
      </c>
    </row>
    <row r="21" spans="1:13" s="2" customFormat="1" x14ac:dyDescent="0.25">
      <c r="A21" s="350"/>
      <c r="B21" s="350"/>
      <c r="C21" s="105"/>
      <c r="F21" s="617" t="s">
        <v>1179</v>
      </c>
      <c r="G21" s="617"/>
      <c r="H21" s="617"/>
      <c r="I21" s="347">
        <v>71187</v>
      </c>
      <c r="J21" s="347">
        <f>I21/7</f>
        <v>10169.571428571429</v>
      </c>
    </row>
    <row r="22" spans="1:13" s="2" customFormat="1" ht="15" customHeight="1" x14ac:dyDescent="0.25">
      <c r="A22" s="618" t="s">
        <v>1180</v>
      </c>
      <c r="B22" s="619"/>
      <c r="C22" s="622">
        <f>C19/13</f>
        <v>315084.14769230771</v>
      </c>
      <c r="F22" s="617" t="s">
        <v>1181</v>
      </c>
      <c r="G22" s="617"/>
      <c r="H22" s="617"/>
      <c r="I22" s="347">
        <v>155347</v>
      </c>
      <c r="J22" s="347">
        <f>I22/15</f>
        <v>10356.466666666667</v>
      </c>
    </row>
    <row r="23" spans="1:13" s="2" customFormat="1" x14ac:dyDescent="0.25">
      <c r="A23" s="620"/>
      <c r="B23" s="621"/>
      <c r="C23" s="623"/>
      <c r="F23" s="617" t="s">
        <v>1182</v>
      </c>
      <c r="G23" s="617"/>
      <c r="H23" s="617"/>
      <c r="I23" s="347">
        <f>SUM(I21:I22)</f>
        <v>226534</v>
      </c>
      <c r="J23" s="347">
        <f>I23/22</f>
        <v>10297</v>
      </c>
    </row>
    <row r="24" spans="1:13" s="2" customFormat="1" x14ac:dyDescent="0.25">
      <c r="A24" s="350"/>
      <c r="B24" s="350"/>
      <c r="C24" s="105"/>
      <c r="H24" s="104"/>
      <c r="I24" s="351"/>
      <c r="J24" s="104"/>
    </row>
    <row r="25" spans="1:13" s="2" customFormat="1" ht="15" customHeight="1" x14ac:dyDescent="0.25">
      <c r="A25" s="618" t="s">
        <v>1183</v>
      </c>
      <c r="B25" s="619"/>
      <c r="C25" s="625">
        <f>C19/C17</f>
        <v>29.9943902403304</v>
      </c>
      <c r="F25"/>
      <c r="G25"/>
      <c r="H25"/>
      <c r="I25"/>
      <c r="J25"/>
      <c r="K25"/>
      <c r="L25"/>
      <c r="M25"/>
    </row>
    <row r="26" spans="1:13" s="2" customFormat="1" x14ac:dyDescent="0.25">
      <c r="A26" s="620"/>
      <c r="B26" s="621"/>
      <c r="C26" s="626"/>
      <c r="F26"/>
      <c r="G26"/>
      <c r="H26"/>
      <c r="I26"/>
      <c r="J26"/>
      <c r="K26"/>
      <c r="L26"/>
      <c r="M26"/>
    </row>
  </sheetData>
  <mergeCells count="18">
    <mergeCell ref="A22:B23"/>
    <mergeCell ref="C22:C23"/>
    <mergeCell ref="F22:H22"/>
    <mergeCell ref="F23:H23"/>
    <mergeCell ref="A25:B26"/>
    <mergeCell ref="C25:C26"/>
    <mergeCell ref="F21:H21"/>
    <mergeCell ref="A1:C2"/>
    <mergeCell ref="F1:H2"/>
    <mergeCell ref="F14:G14"/>
    <mergeCell ref="F15:G15"/>
    <mergeCell ref="A17:B17"/>
    <mergeCell ref="F17:H17"/>
    <mergeCell ref="F18:H18"/>
    <mergeCell ref="A19:B20"/>
    <mergeCell ref="C19:C20"/>
    <mergeCell ref="F19:H19"/>
    <mergeCell ref="F20:H20"/>
  </mergeCells>
  <conditionalFormatting sqref="C4:C5">
    <cfRule type="cellIs" dxfId="101" priority="1" operator="lessThan">
      <formula>0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B050"/>
  </sheetPr>
  <dimension ref="A1:Q35"/>
  <sheetViews>
    <sheetView topLeftCell="A19" zoomScaleNormal="100" workbookViewId="0">
      <selection activeCell="C34" sqref="C34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2.85546875" style="2" bestFit="1" customWidth="1"/>
    <col min="8" max="9" width="24.7109375" style="2" bestFit="1" customWidth="1"/>
    <col min="10" max="10" width="8.42578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7" t="s">
        <v>377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2816291</v>
      </c>
      <c r="C4" s="4" t="s">
        <v>9</v>
      </c>
      <c r="D4" s="5">
        <v>0</v>
      </c>
      <c r="E4" s="4"/>
      <c r="F4" s="4" t="s">
        <v>275</v>
      </c>
      <c r="G4" s="4" t="s">
        <v>2</v>
      </c>
      <c r="H4" s="4" t="s">
        <v>311</v>
      </c>
      <c r="I4" s="4" t="s">
        <v>311</v>
      </c>
      <c r="J4" s="4" t="s">
        <v>312</v>
      </c>
      <c r="K4" s="4" t="s">
        <v>313</v>
      </c>
      <c r="L4" s="4">
        <v>368</v>
      </c>
      <c r="M4" s="4">
        <v>0</v>
      </c>
      <c r="N4" s="9" t="s">
        <v>10</v>
      </c>
      <c r="O4" s="24">
        <v>0</v>
      </c>
      <c r="P4" s="28">
        <v>0</v>
      </c>
      <c r="Q4" s="24">
        <v>0</v>
      </c>
    </row>
    <row r="5" spans="1:17" ht="25.5" customHeight="1" x14ac:dyDescent="0.25">
      <c r="A5" s="10">
        <v>44472</v>
      </c>
      <c r="B5" s="11">
        <v>2010635137</v>
      </c>
      <c r="C5" s="11" t="s">
        <v>0</v>
      </c>
      <c r="D5" s="125">
        <v>125108.71</v>
      </c>
      <c r="E5" s="11" t="s">
        <v>56</v>
      </c>
      <c r="F5" s="11" t="s">
        <v>2</v>
      </c>
      <c r="G5" s="11" t="s">
        <v>43</v>
      </c>
      <c r="H5" s="11" t="s">
        <v>311</v>
      </c>
      <c r="I5" s="11" t="s">
        <v>311</v>
      </c>
      <c r="J5" s="11" t="s">
        <v>312</v>
      </c>
      <c r="K5" s="11" t="s">
        <v>313</v>
      </c>
      <c r="L5" s="11">
        <v>740</v>
      </c>
      <c r="M5" s="11">
        <v>28850</v>
      </c>
      <c r="N5" s="60" t="s">
        <v>8</v>
      </c>
      <c r="O5" s="630">
        <v>38408.373970000001</v>
      </c>
      <c r="P5" s="636">
        <f>O5/D5*100</f>
        <v>30.7</v>
      </c>
      <c r="Q5" s="630">
        <f>D5/(L5+L6)</f>
        <v>84.532912162162162</v>
      </c>
    </row>
    <row r="6" spans="1:17" ht="25.5" customHeight="1" x14ac:dyDescent="0.25">
      <c r="A6" s="10">
        <v>44473</v>
      </c>
      <c r="B6" s="11">
        <v>2816838</v>
      </c>
      <c r="C6" s="11" t="s">
        <v>9</v>
      </c>
      <c r="D6" s="125">
        <v>0</v>
      </c>
      <c r="E6" s="11"/>
      <c r="F6" s="11" t="s">
        <v>43</v>
      </c>
      <c r="G6" s="11" t="s">
        <v>2</v>
      </c>
      <c r="H6" s="11" t="s">
        <v>311</v>
      </c>
      <c r="I6" s="11" t="s">
        <v>311</v>
      </c>
      <c r="J6" s="11" t="s">
        <v>312</v>
      </c>
      <c r="K6" s="11" t="s">
        <v>313</v>
      </c>
      <c r="L6" s="11">
        <v>740</v>
      </c>
      <c r="M6" s="11">
        <v>0</v>
      </c>
      <c r="N6" s="60" t="s">
        <v>10</v>
      </c>
      <c r="O6" s="630"/>
      <c r="P6" s="636"/>
      <c r="Q6" s="630"/>
    </row>
    <row r="7" spans="1:17" ht="25.5" customHeight="1" x14ac:dyDescent="0.25">
      <c r="A7" s="16">
        <v>44474</v>
      </c>
      <c r="B7" s="17">
        <v>2010637935</v>
      </c>
      <c r="C7" s="17" t="s">
        <v>0</v>
      </c>
      <c r="D7" s="128">
        <v>125108.71</v>
      </c>
      <c r="E7" s="17" t="s">
        <v>56</v>
      </c>
      <c r="F7" s="17" t="s">
        <v>2</v>
      </c>
      <c r="G7" s="17" t="s">
        <v>235</v>
      </c>
      <c r="H7" s="17" t="s">
        <v>311</v>
      </c>
      <c r="I7" s="17" t="s">
        <v>311</v>
      </c>
      <c r="J7" s="17" t="s">
        <v>312</v>
      </c>
      <c r="K7" s="17" t="s">
        <v>313</v>
      </c>
      <c r="L7" s="17">
        <v>740</v>
      </c>
      <c r="M7" s="17">
        <v>28900</v>
      </c>
      <c r="N7" s="61" t="s">
        <v>8</v>
      </c>
      <c r="O7" s="628">
        <v>38408.373970000001</v>
      </c>
      <c r="P7" s="643">
        <f>O7/D7*100</f>
        <v>30.7</v>
      </c>
      <c r="Q7" s="628">
        <f>D7/(L7+L8)</f>
        <v>84.532912162162162</v>
      </c>
    </row>
    <row r="8" spans="1:17" ht="25.5" customHeight="1" x14ac:dyDescent="0.25">
      <c r="A8" s="16">
        <v>44475</v>
      </c>
      <c r="B8" s="17">
        <v>2816830</v>
      </c>
      <c r="C8" s="17" t="s">
        <v>9</v>
      </c>
      <c r="D8" s="128">
        <v>0</v>
      </c>
      <c r="E8" s="17"/>
      <c r="F8" s="17" t="s">
        <v>235</v>
      </c>
      <c r="G8" s="17" t="s">
        <v>2</v>
      </c>
      <c r="H8" s="17" t="s">
        <v>311</v>
      </c>
      <c r="I8" s="17" t="s">
        <v>311</v>
      </c>
      <c r="J8" s="17" t="s">
        <v>312</v>
      </c>
      <c r="K8" s="17" t="s">
        <v>313</v>
      </c>
      <c r="L8" s="17">
        <v>740</v>
      </c>
      <c r="M8" s="17">
        <v>0</v>
      </c>
      <c r="N8" s="61" t="s">
        <v>10</v>
      </c>
      <c r="O8" s="628"/>
      <c r="P8" s="643"/>
      <c r="Q8" s="628"/>
    </row>
    <row r="9" spans="1:17" ht="25.5" customHeight="1" x14ac:dyDescent="0.25">
      <c r="A9" s="12">
        <v>44477</v>
      </c>
      <c r="B9" s="13">
        <v>2010658766</v>
      </c>
      <c r="C9" s="13" t="s">
        <v>0</v>
      </c>
      <c r="D9" s="127">
        <v>63271.58</v>
      </c>
      <c r="E9" s="13" t="s">
        <v>34</v>
      </c>
      <c r="F9" s="13" t="s">
        <v>2</v>
      </c>
      <c r="G9" s="13" t="s">
        <v>61</v>
      </c>
      <c r="H9" s="13" t="s">
        <v>311</v>
      </c>
      <c r="I9" s="13" t="s">
        <v>311</v>
      </c>
      <c r="J9" s="13" t="s">
        <v>312</v>
      </c>
      <c r="K9" s="13" t="s">
        <v>313</v>
      </c>
      <c r="L9" s="13">
        <v>352</v>
      </c>
      <c r="M9" s="13">
        <v>29000</v>
      </c>
      <c r="N9" s="62" t="s">
        <v>110</v>
      </c>
      <c r="O9" s="634">
        <v>19424.375059999998</v>
      </c>
      <c r="P9" s="639">
        <f>O9/D9*100</f>
        <v>30.7</v>
      </c>
      <c r="Q9" s="634">
        <f>D9/(L9+L10)</f>
        <v>89.874403409090917</v>
      </c>
    </row>
    <row r="10" spans="1:17" ht="25.5" customHeight="1" x14ac:dyDescent="0.25">
      <c r="A10" s="12">
        <v>44478</v>
      </c>
      <c r="B10" s="13">
        <v>2816810</v>
      </c>
      <c r="C10" s="13" t="s">
        <v>9</v>
      </c>
      <c r="D10" s="127">
        <v>0</v>
      </c>
      <c r="E10" s="13"/>
      <c r="F10" s="13" t="s">
        <v>61</v>
      </c>
      <c r="G10" s="13" t="s">
        <v>2</v>
      </c>
      <c r="H10" s="13" t="s">
        <v>311</v>
      </c>
      <c r="I10" s="13" t="s">
        <v>311</v>
      </c>
      <c r="J10" s="13" t="s">
        <v>312</v>
      </c>
      <c r="K10" s="13" t="s">
        <v>313</v>
      </c>
      <c r="L10" s="13">
        <v>352</v>
      </c>
      <c r="M10" s="13">
        <v>0</v>
      </c>
      <c r="N10" s="62" t="s">
        <v>10</v>
      </c>
      <c r="O10" s="634"/>
      <c r="P10" s="639"/>
      <c r="Q10" s="634"/>
    </row>
    <row r="11" spans="1:17" ht="25.5" customHeight="1" x14ac:dyDescent="0.25">
      <c r="A11" s="14">
        <v>44480</v>
      </c>
      <c r="B11" s="15">
        <v>2010663440</v>
      </c>
      <c r="C11" s="15" t="s">
        <v>0</v>
      </c>
      <c r="D11" s="129">
        <v>125108.71</v>
      </c>
      <c r="E11" s="15" t="s">
        <v>36</v>
      </c>
      <c r="F11" s="15" t="s">
        <v>2</v>
      </c>
      <c r="G11" s="15" t="s">
        <v>3</v>
      </c>
      <c r="H11" s="15" t="s">
        <v>311</v>
      </c>
      <c r="I11" s="15" t="s">
        <v>311</v>
      </c>
      <c r="J11" s="15" t="s">
        <v>312</v>
      </c>
      <c r="K11" s="15" t="s">
        <v>313</v>
      </c>
      <c r="L11" s="15">
        <v>740</v>
      </c>
      <c r="M11" s="15">
        <v>28970</v>
      </c>
      <c r="N11" s="63" t="s">
        <v>8</v>
      </c>
      <c r="O11" s="632">
        <v>38408.373970000001</v>
      </c>
      <c r="P11" s="646">
        <f>O11/D11*100</f>
        <v>30.7</v>
      </c>
      <c r="Q11" s="632">
        <f>D11/(L11+L12)</f>
        <v>84.532912162162162</v>
      </c>
    </row>
    <row r="12" spans="1:17" ht="25.5" customHeight="1" x14ac:dyDescent="0.25">
      <c r="A12" s="14">
        <v>44482</v>
      </c>
      <c r="B12" s="15">
        <v>2816798</v>
      </c>
      <c r="C12" s="15" t="s">
        <v>9</v>
      </c>
      <c r="D12" s="129">
        <v>0</v>
      </c>
      <c r="E12" s="15"/>
      <c r="F12" s="15" t="s">
        <v>3</v>
      </c>
      <c r="G12" s="15" t="s">
        <v>2</v>
      </c>
      <c r="H12" s="15" t="s">
        <v>311</v>
      </c>
      <c r="I12" s="15" t="s">
        <v>311</v>
      </c>
      <c r="J12" s="15" t="s">
        <v>312</v>
      </c>
      <c r="K12" s="15" t="s">
        <v>313</v>
      </c>
      <c r="L12" s="15">
        <v>740</v>
      </c>
      <c r="M12" s="15">
        <v>0</v>
      </c>
      <c r="N12" s="63" t="s">
        <v>10</v>
      </c>
      <c r="O12" s="632"/>
      <c r="P12" s="646"/>
      <c r="Q12" s="632"/>
    </row>
    <row r="13" spans="1:17" ht="25.5" customHeight="1" x14ac:dyDescent="0.25">
      <c r="A13" s="10">
        <v>44484</v>
      </c>
      <c r="B13" s="11">
        <v>2010661331</v>
      </c>
      <c r="C13" s="11" t="s">
        <v>0</v>
      </c>
      <c r="D13" s="125">
        <v>125108.71</v>
      </c>
      <c r="E13" s="11" t="s">
        <v>39</v>
      </c>
      <c r="F13" s="11" t="s">
        <v>2</v>
      </c>
      <c r="G13" s="11" t="s">
        <v>12</v>
      </c>
      <c r="H13" s="11" t="s">
        <v>311</v>
      </c>
      <c r="I13" s="11" t="s">
        <v>311</v>
      </c>
      <c r="J13" s="11" t="s">
        <v>312</v>
      </c>
      <c r="K13" s="11" t="s">
        <v>313</v>
      </c>
      <c r="L13" s="11">
        <v>740</v>
      </c>
      <c r="M13" s="11">
        <v>29000</v>
      </c>
      <c r="N13" s="60" t="s">
        <v>8</v>
      </c>
      <c r="O13" s="630">
        <v>38408.373970000001</v>
      </c>
      <c r="P13" s="636">
        <f>O13/D13*100</f>
        <v>30.7</v>
      </c>
      <c r="Q13" s="630">
        <f>D13/(L13+L14)</f>
        <v>84.532912162162162</v>
      </c>
    </row>
    <row r="14" spans="1:17" ht="25.5" customHeight="1" x14ac:dyDescent="0.25">
      <c r="A14" s="10">
        <v>44485</v>
      </c>
      <c r="B14" s="11">
        <v>2816773</v>
      </c>
      <c r="C14" s="11" t="s">
        <v>9</v>
      </c>
      <c r="D14" s="125">
        <v>0</v>
      </c>
      <c r="E14" s="11"/>
      <c r="F14" s="11" t="s">
        <v>12</v>
      </c>
      <c r="G14" s="11" t="s">
        <v>2</v>
      </c>
      <c r="H14" s="11" t="s">
        <v>311</v>
      </c>
      <c r="I14" s="11" t="s">
        <v>311</v>
      </c>
      <c r="J14" s="11" t="s">
        <v>312</v>
      </c>
      <c r="K14" s="11" t="s">
        <v>313</v>
      </c>
      <c r="L14" s="11">
        <v>740</v>
      </c>
      <c r="M14" s="11">
        <v>0</v>
      </c>
      <c r="N14" s="60" t="s">
        <v>10</v>
      </c>
      <c r="O14" s="630"/>
      <c r="P14" s="636"/>
      <c r="Q14" s="630"/>
    </row>
    <row r="15" spans="1:17" ht="25.5" customHeight="1" x14ac:dyDescent="0.25">
      <c r="A15" s="16">
        <v>44487</v>
      </c>
      <c r="B15" s="17">
        <v>2010696557</v>
      </c>
      <c r="C15" s="17" t="s">
        <v>0</v>
      </c>
      <c r="D15" s="128">
        <v>149057.13</v>
      </c>
      <c r="E15" s="17" t="s">
        <v>41</v>
      </c>
      <c r="F15" s="17" t="s">
        <v>2</v>
      </c>
      <c r="G15" s="17" t="s">
        <v>42</v>
      </c>
      <c r="H15" s="17" t="s">
        <v>311</v>
      </c>
      <c r="I15" s="17" t="s">
        <v>311</v>
      </c>
      <c r="J15" s="17" t="s">
        <v>312</v>
      </c>
      <c r="K15" s="17" t="s">
        <v>313</v>
      </c>
      <c r="L15" s="17">
        <v>879</v>
      </c>
      <c r="M15" s="17">
        <v>28970</v>
      </c>
      <c r="N15" s="61" t="s">
        <v>8</v>
      </c>
      <c r="O15" s="628">
        <v>45760.538910000003</v>
      </c>
      <c r="P15" s="643">
        <f>O15/D15*100</f>
        <v>30.7</v>
      </c>
      <c r="Q15" s="628">
        <f>D15/(L15+L16)</f>
        <v>84.787901023890782</v>
      </c>
    </row>
    <row r="16" spans="1:17" ht="25.5" customHeight="1" x14ac:dyDescent="0.25">
      <c r="A16" s="16">
        <v>44489</v>
      </c>
      <c r="B16" s="17">
        <v>2816750</v>
      </c>
      <c r="C16" s="17" t="s">
        <v>9</v>
      </c>
      <c r="D16" s="128">
        <v>0</v>
      </c>
      <c r="E16" s="17"/>
      <c r="F16" s="17" t="s">
        <v>42</v>
      </c>
      <c r="G16" s="17" t="s">
        <v>2</v>
      </c>
      <c r="H16" s="17" t="s">
        <v>311</v>
      </c>
      <c r="I16" s="17" t="s">
        <v>311</v>
      </c>
      <c r="J16" s="17" t="s">
        <v>312</v>
      </c>
      <c r="K16" s="17" t="s">
        <v>313</v>
      </c>
      <c r="L16" s="17">
        <v>879</v>
      </c>
      <c r="M16" s="17">
        <v>0</v>
      </c>
      <c r="N16" s="61" t="s">
        <v>10</v>
      </c>
      <c r="O16" s="628"/>
      <c r="P16" s="643"/>
      <c r="Q16" s="628"/>
    </row>
    <row r="17" spans="1:17" ht="25.5" customHeight="1" x14ac:dyDescent="0.25">
      <c r="A17" s="12">
        <v>44490</v>
      </c>
      <c r="B17" s="13">
        <v>2010694715</v>
      </c>
      <c r="C17" s="13" t="s">
        <v>0</v>
      </c>
      <c r="D17" s="127">
        <v>125108.71</v>
      </c>
      <c r="E17" s="13" t="s">
        <v>1</v>
      </c>
      <c r="F17" s="13" t="s">
        <v>2</v>
      </c>
      <c r="G17" s="13" t="s">
        <v>3</v>
      </c>
      <c r="H17" s="13" t="s">
        <v>311</v>
      </c>
      <c r="I17" s="13" t="s">
        <v>311</v>
      </c>
      <c r="J17" s="13" t="s">
        <v>312</v>
      </c>
      <c r="K17" s="13" t="s">
        <v>313</v>
      </c>
      <c r="L17" s="13">
        <v>740</v>
      </c>
      <c r="M17" s="13">
        <v>28970</v>
      </c>
      <c r="N17" s="62" t="s">
        <v>8</v>
      </c>
      <c r="O17" s="634">
        <v>38408.373970000001</v>
      </c>
      <c r="P17" s="639">
        <f>O17/D17*100</f>
        <v>30.7</v>
      </c>
      <c r="Q17" s="634">
        <f>D17/(L17+L18)</f>
        <v>84.532912162162162</v>
      </c>
    </row>
    <row r="18" spans="1:17" ht="25.5" customHeight="1" x14ac:dyDescent="0.25">
      <c r="A18" s="12">
        <v>44491</v>
      </c>
      <c r="B18" s="13">
        <v>2816740</v>
      </c>
      <c r="C18" s="13" t="s">
        <v>9</v>
      </c>
      <c r="D18" s="127">
        <v>0</v>
      </c>
      <c r="E18" s="13"/>
      <c r="F18" s="13" t="s">
        <v>3</v>
      </c>
      <c r="G18" s="13" t="s">
        <v>2</v>
      </c>
      <c r="H18" s="13" t="s">
        <v>311</v>
      </c>
      <c r="I18" s="13" t="s">
        <v>311</v>
      </c>
      <c r="J18" s="13" t="s">
        <v>312</v>
      </c>
      <c r="K18" s="13" t="s">
        <v>313</v>
      </c>
      <c r="L18" s="13">
        <v>740</v>
      </c>
      <c r="M18" s="13">
        <v>0</v>
      </c>
      <c r="N18" s="62" t="s">
        <v>10</v>
      </c>
      <c r="O18" s="634"/>
      <c r="P18" s="639"/>
      <c r="Q18" s="634"/>
    </row>
    <row r="19" spans="1:17" ht="25.5" customHeight="1" x14ac:dyDescent="0.25">
      <c r="A19" s="14">
        <v>44497</v>
      </c>
      <c r="B19" s="15">
        <v>2010718678</v>
      </c>
      <c r="C19" s="15" t="s">
        <v>0</v>
      </c>
      <c r="D19" s="129">
        <v>125108.71</v>
      </c>
      <c r="E19" s="15" t="s">
        <v>44</v>
      </c>
      <c r="F19" s="15" t="s">
        <v>2</v>
      </c>
      <c r="G19" s="15" t="s">
        <v>314</v>
      </c>
      <c r="H19" s="15" t="s">
        <v>311</v>
      </c>
      <c r="I19" s="15" t="s">
        <v>311</v>
      </c>
      <c r="J19" s="15" t="s">
        <v>312</v>
      </c>
      <c r="K19" s="15" t="s">
        <v>313</v>
      </c>
      <c r="L19" s="15">
        <v>740</v>
      </c>
      <c r="M19" s="15">
        <v>28700</v>
      </c>
      <c r="N19" s="63" t="s">
        <v>8</v>
      </c>
      <c r="O19" s="632">
        <v>38408.373970000001</v>
      </c>
      <c r="P19" s="646">
        <f>O19/D19*100</f>
        <v>30.7</v>
      </c>
      <c r="Q19" s="632">
        <f>D19/(L19+L20)</f>
        <v>84.532912162162162</v>
      </c>
    </row>
    <row r="20" spans="1:17" ht="25.5" customHeight="1" x14ac:dyDescent="0.25">
      <c r="A20" s="85">
        <v>44498</v>
      </c>
      <c r="B20" s="86">
        <v>2816702</v>
      </c>
      <c r="C20" s="86" t="s">
        <v>9</v>
      </c>
      <c r="D20" s="133">
        <v>0</v>
      </c>
      <c r="E20" s="86"/>
      <c r="F20" s="86" t="s">
        <v>314</v>
      </c>
      <c r="G20" s="86" t="s">
        <v>2</v>
      </c>
      <c r="H20" s="86" t="s">
        <v>311</v>
      </c>
      <c r="I20" s="86" t="s">
        <v>311</v>
      </c>
      <c r="J20" s="86" t="s">
        <v>312</v>
      </c>
      <c r="K20" s="86" t="s">
        <v>313</v>
      </c>
      <c r="L20" s="86">
        <v>740</v>
      </c>
      <c r="M20" s="86">
        <v>0</v>
      </c>
      <c r="N20" s="63" t="s">
        <v>10</v>
      </c>
      <c r="O20" s="632"/>
      <c r="P20" s="646"/>
      <c r="Q20" s="632"/>
    </row>
    <row r="21" spans="1:17" x14ac:dyDescent="0.25">
      <c r="A21" s="9"/>
      <c r="B21" s="9"/>
      <c r="C21" s="9"/>
      <c r="D21" s="18">
        <f>SUM(D4:D20)</f>
        <v>962980.97</v>
      </c>
      <c r="E21" s="9"/>
      <c r="F21" s="9"/>
      <c r="G21" s="9"/>
      <c r="H21" s="9"/>
      <c r="I21" s="9"/>
      <c r="J21" s="9"/>
      <c r="K21" s="9"/>
      <c r="L21" s="9">
        <f>SUM(L4:L20)</f>
        <v>11710</v>
      </c>
      <c r="M21" s="9"/>
      <c r="N21" s="9"/>
      <c r="O21" s="24">
        <f>SUM(O4:O20)</f>
        <v>295635.15779000003</v>
      </c>
      <c r="P21" s="28">
        <f>O21/D21*100</f>
        <v>30.700000000000006</v>
      </c>
      <c r="Q21" s="26">
        <f>D21/L21</f>
        <v>82.235778821520071</v>
      </c>
    </row>
    <row r="23" spans="1:17" x14ac:dyDescent="0.25">
      <c r="A23" s="99" t="s">
        <v>322</v>
      </c>
      <c r="B23" s="100" t="s">
        <v>328</v>
      </c>
      <c r="C23" s="101"/>
      <c r="D23" s="102"/>
    </row>
    <row r="24" spans="1:17" x14ac:dyDescent="0.25">
      <c r="A24" s="103">
        <f>D21/L21</f>
        <v>82.235778821520071</v>
      </c>
      <c r="B24" s="9"/>
      <c r="C24" s="104"/>
      <c r="D24" s="105"/>
    </row>
    <row r="25" spans="1:17" x14ac:dyDescent="0.25">
      <c r="D25" s="25"/>
    </row>
    <row r="26" spans="1:17" x14ac:dyDescent="0.25">
      <c r="A26" s="36"/>
      <c r="B26" s="36" t="s">
        <v>329</v>
      </c>
      <c r="C26" s="36" t="s">
        <v>330</v>
      </c>
      <c r="D26" s="106" t="s">
        <v>313</v>
      </c>
    </row>
    <row r="27" spans="1:17" x14ac:dyDescent="0.25">
      <c r="A27" s="7" t="s">
        <v>331</v>
      </c>
      <c r="B27" s="42">
        <f>D21</f>
        <v>962980.97</v>
      </c>
      <c r="C27" s="45">
        <f>B28</f>
        <v>295635.15779000003</v>
      </c>
      <c r="D27" s="46">
        <f>C27/B27</f>
        <v>0.30700000000000005</v>
      </c>
    </row>
    <row r="28" spans="1:17" x14ac:dyDescent="0.25">
      <c r="A28" s="47" t="s">
        <v>27</v>
      </c>
      <c r="B28" s="24">
        <f>O21</f>
        <v>295635.15779000003</v>
      </c>
      <c r="C28" s="9"/>
      <c r="D28" s="25"/>
    </row>
    <row r="29" spans="1:17" x14ac:dyDescent="0.25">
      <c r="A29" s="48" t="s">
        <v>332</v>
      </c>
      <c r="B29" s="107"/>
      <c r="C29" s="49">
        <f>(12*(78578.313+12454.55))/(150000+80000)*L21</f>
        <v>55617.121342434781</v>
      </c>
      <c r="D29" s="25"/>
    </row>
    <row r="30" spans="1:17" x14ac:dyDescent="0.25">
      <c r="A30" s="48" t="s">
        <v>335</v>
      </c>
      <c r="B30" s="107"/>
      <c r="C30" s="42">
        <f>'PATENTE PROVINCIAL'!N74</f>
        <v>822.2</v>
      </c>
      <c r="D30" s="25"/>
    </row>
    <row r="31" spans="1:17" x14ac:dyDescent="0.25">
      <c r="A31" s="48" t="s">
        <v>336</v>
      </c>
      <c r="B31" s="107"/>
      <c r="C31" s="42">
        <f>'PATENTE MUNICIPAL'!I81</f>
        <v>1150.3733333333332</v>
      </c>
      <c r="D31" s="25"/>
    </row>
    <row r="32" spans="1:17" x14ac:dyDescent="0.25">
      <c r="A32" s="48" t="s">
        <v>337</v>
      </c>
      <c r="B32" s="107"/>
      <c r="C32" s="42">
        <f>SEGURO!K85</f>
        <v>261.09831688804553</v>
      </c>
      <c r="D32" s="25"/>
    </row>
    <row r="33" spans="1:4" x14ac:dyDescent="0.25">
      <c r="A33" s="48" t="s">
        <v>339</v>
      </c>
      <c r="B33" s="107"/>
      <c r="C33" s="42">
        <f>'GASTOS SEMI'!H204</f>
        <v>4243.84</v>
      </c>
      <c r="D33" s="25"/>
    </row>
    <row r="34" spans="1:4" x14ac:dyDescent="0.25">
      <c r="A34" s="48" t="s">
        <v>340</v>
      </c>
      <c r="B34" s="107"/>
      <c r="C34" s="51">
        <f>SUM(C29:C33)</f>
        <v>62094.632992656159</v>
      </c>
      <c r="D34" s="25"/>
    </row>
    <row r="35" spans="1:4" x14ac:dyDescent="0.25">
      <c r="A35" s="36" t="s">
        <v>341</v>
      </c>
      <c r="B35" s="107"/>
      <c r="C35" s="53">
        <f>C27-C28-C34</f>
        <v>233540.52479734388</v>
      </c>
      <c r="D35" s="106">
        <f>+B35+C35</f>
        <v>233540.52479734388</v>
      </c>
    </row>
  </sheetData>
  <sortState xmlns:xlrd2="http://schemas.microsoft.com/office/spreadsheetml/2017/richdata2" ref="A2:P19">
    <sortCondition ref="A1"/>
  </sortState>
  <mergeCells count="25">
    <mergeCell ref="Q5:Q6"/>
    <mergeCell ref="P5:P6"/>
    <mergeCell ref="O5:O6"/>
    <mergeCell ref="O9:O10"/>
    <mergeCell ref="A1:Q2"/>
    <mergeCell ref="Q7:Q8"/>
    <mergeCell ref="P7:P8"/>
    <mergeCell ref="O7:O8"/>
    <mergeCell ref="Q11:Q12"/>
    <mergeCell ref="P11:P12"/>
    <mergeCell ref="O11:O12"/>
    <mergeCell ref="Q9:Q10"/>
    <mergeCell ref="P9:P10"/>
    <mergeCell ref="Q15:Q16"/>
    <mergeCell ref="P15:P16"/>
    <mergeCell ref="O15:O16"/>
    <mergeCell ref="Q13:Q14"/>
    <mergeCell ref="P13:P14"/>
    <mergeCell ref="O13:O14"/>
    <mergeCell ref="Q19:Q20"/>
    <mergeCell ref="P19:P20"/>
    <mergeCell ref="O19:O20"/>
    <mergeCell ref="Q17:Q18"/>
    <mergeCell ref="P17:P18"/>
    <mergeCell ref="O17:O1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B050"/>
  </sheetPr>
  <dimension ref="A1:Q34"/>
  <sheetViews>
    <sheetView topLeftCell="A19" zoomScaleNormal="100" workbookViewId="0">
      <selection activeCell="C33" sqref="C33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5.85546875" style="2" bestFit="1" customWidth="1"/>
    <col min="8" max="9" width="20" style="2" bestFit="1" customWidth="1"/>
    <col min="10" max="10" width="7.42578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7" t="s">
        <v>378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2816287</v>
      </c>
      <c r="C4" s="4" t="s">
        <v>9</v>
      </c>
      <c r="D4" s="5">
        <v>0</v>
      </c>
      <c r="E4" s="4"/>
      <c r="F4" s="4" t="s">
        <v>235</v>
      </c>
      <c r="G4" s="4" t="s">
        <v>2</v>
      </c>
      <c r="H4" s="4" t="s">
        <v>236</v>
      </c>
      <c r="I4" s="4" t="s">
        <v>236</v>
      </c>
      <c r="J4" s="4" t="s">
        <v>237</v>
      </c>
      <c r="K4" s="4" t="s">
        <v>238</v>
      </c>
      <c r="L4" s="4">
        <v>740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17" ht="25.5" customHeight="1" x14ac:dyDescent="0.25">
      <c r="A5" s="10">
        <v>44475</v>
      </c>
      <c r="B5" s="11">
        <v>2010637547</v>
      </c>
      <c r="C5" s="11" t="s">
        <v>0</v>
      </c>
      <c r="D5" s="125">
        <v>78421.34</v>
      </c>
      <c r="E5" s="11" t="s">
        <v>34</v>
      </c>
      <c r="F5" s="11" t="s">
        <v>2</v>
      </c>
      <c r="G5" s="11" t="s">
        <v>239</v>
      </c>
      <c r="H5" s="11" t="s">
        <v>236</v>
      </c>
      <c r="I5" s="11" t="s">
        <v>236</v>
      </c>
      <c r="J5" s="11" t="s">
        <v>237</v>
      </c>
      <c r="K5" s="11" t="s">
        <v>238</v>
      </c>
      <c r="L5" s="11">
        <v>440</v>
      </c>
      <c r="M5" s="11">
        <v>28650</v>
      </c>
      <c r="N5" s="11" t="s">
        <v>38</v>
      </c>
      <c r="O5" s="637">
        <v>24075.35138</v>
      </c>
      <c r="P5" s="636">
        <f>O5/D5*100</f>
        <v>30.7</v>
      </c>
      <c r="Q5" s="630">
        <f>D5/(L5+L6)</f>
        <v>89.115159090909088</v>
      </c>
    </row>
    <row r="6" spans="1:17" ht="25.5" customHeight="1" x14ac:dyDescent="0.25">
      <c r="A6" s="10">
        <v>44476</v>
      </c>
      <c r="B6" s="11">
        <v>2816821</v>
      </c>
      <c r="C6" s="11" t="s">
        <v>9</v>
      </c>
      <c r="D6" s="125">
        <v>0</v>
      </c>
      <c r="E6" s="11"/>
      <c r="F6" s="11" t="s">
        <v>239</v>
      </c>
      <c r="G6" s="11" t="s">
        <v>2</v>
      </c>
      <c r="H6" s="11" t="s">
        <v>236</v>
      </c>
      <c r="I6" s="11" t="s">
        <v>236</v>
      </c>
      <c r="J6" s="11" t="s">
        <v>237</v>
      </c>
      <c r="K6" s="11" t="s">
        <v>238</v>
      </c>
      <c r="L6" s="11">
        <v>440</v>
      </c>
      <c r="M6" s="11">
        <v>0</v>
      </c>
      <c r="N6" s="11" t="s">
        <v>10</v>
      </c>
      <c r="O6" s="638"/>
      <c r="P6" s="636"/>
      <c r="Q6" s="630"/>
    </row>
    <row r="7" spans="1:17" ht="25.5" customHeight="1" x14ac:dyDescent="0.25">
      <c r="A7" s="16">
        <v>44479</v>
      </c>
      <c r="B7" s="17">
        <v>2010661228</v>
      </c>
      <c r="C7" s="17" t="s">
        <v>0</v>
      </c>
      <c r="D7" s="128">
        <v>125108.71</v>
      </c>
      <c r="E7" s="17" t="s">
        <v>36</v>
      </c>
      <c r="F7" s="17" t="s">
        <v>2</v>
      </c>
      <c r="G7" s="17" t="s">
        <v>35</v>
      </c>
      <c r="H7" s="17" t="s">
        <v>236</v>
      </c>
      <c r="I7" s="17" t="s">
        <v>236</v>
      </c>
      <c r="J7" s="17" t="s">
        <v>237</v>
      </c>
      <c r="K7" s="17" t="s">
        <v>238</v>
      </c>
      <c r="L7" s="17">
        <v>740</v>
      </c>
      <c r="M7" s="17">
        <v>28800</v>
      </c>
      <c r="N7" s="17" t="s">
        <v>8</v>
      </c>
      <c r="O7" s="644">
        <v>38408.373970000001</v>
      </c>
      <c r="P7" s="643">
        <f>O7/D7*100</f>
        <v>30.7</v>
      </c>
      <c r="Q7" s="628">
        <f>D7/(L7+L8)</f>
        <v>84.532912162162162</v>
      </c>
    </row>
    <row r="8" spans="1:17" ht="25.5" customHeight="1" x14ac:dyDescent="0.25">
      <c r="A8" s="16">
        <v>44482</v>
      </c>
      <c r="B8" s="17">
        <v>2816796</v>
      </c>
      <c r="C8" s="17" t="s">
        <v>9</v>
      </c>
      <c r="D8" s="128">
        <v>0</v>
      </c>
      <c r="E8" s="17"/>
      <c r="F8" s="17" t="s">
        <v>35</v>
      </c>
      <c r="G8" s="17" t="s">
        <v>2</v>
      </c>
      <c r="H8" s="17" t="s">
        <v>236</v>
      </c>
      <c r="I8" s="17" t="s">
        <v>236</v>
      </c>
      <c r="J8" s="17" t="s">
        <v>237</v>
      </c>
      <c r="K8" s="17" t="s">
        <v>238</v>
      </c>
      <c r="L8" s="17">
        <v>740</v>
      </c>
      <c r="M8" s="17">
        <v>0</v>
      </c>
      <c r="N8" s="17" t="s">
        <v>10</v>
      </c>
      <c r="O8" s="645"/>
      <c r="P8" s="643"/>
      <c r="Q8" s="628"/>
    </row>
    <row r="9" spans="1:17" ht="25.5" customHeight="1" x14ac:dyDescent="0.25">
      <c r="A9" s="12">
        <v>44483</v>
      </c>
      <c r="B9" s="13">
        <v>2010661357</v>
      </c>
      <c r="C9" s="13" t="s">
        <v>0</v>
      </c>
      <c r="D9" s="127">
        <v>125108.71</v>
      </c>
      <c r="E9" s="13" t="s">
        <v>39</v>
      </c>
      <c r="F9" s="13" t="s">
        <v>2</v>
      </c>
      <c r="G9" s="13" t="s">
        <v>35</v>
      </c>
      <c r="H9" s="13" t="s">
        <v>236</v>
      </c>
      <c r="I9" s="13" t="s">
        <v>236</v>
      </c>
      <c r="J9" s="13" t="s">
        <v>237</v>
      </c>
      <c r="K9" s="13" t="s">
        <v>238</v>
      </c>
      <c r="L9" s="13">
        <v>740</v>
      </c>
      <c r="M9" s="13">
        <v>28470</v>
      </c>
      <c r="N9" s="13" t="s">
        <v>8</v>
      </c>
      <c r="O9" s="640">
        <v>38408.373970000001</v>
      </c>
      <c r="P9" s="639">
        <f>O9/D9*100</f>
        <v>30.7</v>
      </c>
      <c r="Q9" s="634">
        <f>D9/(L9+L10)</f>
        <v>82.798616810059571</v>
      </c>
    </row>
    <row r="10" spans="1:17" ht="25.5" customHeight="1" x14ac:dyDescent="0.25">
      <c r="A10" s="12">
        <v>44484</v>
      </c>
      <c r="B10" s="13">
        <v>2816785</v>
      </c>
      <c r="C10" s="13" t="s">
        <v>9</v>
      </c>
      <c r="D10" s="127">
        <v>0</v>
      </c>
      <c r="E10" s="13"/>
      <c r="F10" s="13" t="s">
        <v>35</v>
      </c>
      <c r="G10" s="13" t="s">
        <v>2</v>
      </c>
      <c r="H10" s="13" t="s">
        <v>236</v>
      </c>
      <c r="I10" s="13" t="s">
        <v>236</v>
      </c>
      <c r="J10" s="13" t="s">
        <v>237</v>
      </c>
      <c r="K10" s="13" t="s">
        <v>238</v>
      </c>
      <c r="L10" s="13">
        <v>771</v>
      </c>
      <c r="M10" s="13">
        <v>0</v>
      </c>
      <c r="N10" s="13" t="s">
        <v>10</v>
      </c>
      <c r="O10" s="642"/>
      <c r="P10" s="639"/>
      <c r="Q10" s="634"/>
    </row>
    <row r="11" spans="1:17" ht="25.5" customHeight="1" x14ac:dyDescent="0.25">
      <c r="A11" s="14">
        <v>44487</v>
      </c>
      <c r="B11" s="15">
        <v>2010691484</v>
      </c>
      <c r="C11" s="15" t="s">
        <v>0</v>
      </c>
      <c r="D11" s="129">
        <v>125108.71</v>
      </c>
      <c r="E11" s="15" t="s">
        <v>41</v>
      </c>
      <c r="F11" s="15" t="s">
        <v>2</v>
      </c>
      <c r="G11" s="15" t="s">
        <v>139</v>
      </c>
      <c r="H11" s="15" t="s">
        <v>236</v>
      </c>
      <c r="I11" s="15" t="s">
        <v>236</v>
      </c>
      <c r="J11" s="15" t="s">
        <v>237</v>
      </c>
      <c r="K11" s="15" t="s">
        <v>238</v>
      </c>
      <c r="L11" s="15">
        <v>740</v>
      </c>
      <c r="M11" s="15">
        <v>28640</v>
      </c>
      <c r="N11" s="15" t="s">
        <v>38</v>
      </c>
      <c r="O11" s="647">
        <v>38408.373970000001</v>
      </c>
      <c r="P11" s="646">
        <f>O11/D11*100</f>
        <v>30.7</v>
      </c>
      <c r="Q11" s="632">
        <f>D11/(L11+L12)</f>
        <v>84.532912162162162</v>
      </c>
    </row>
    <row r="12" spans="1:17" ht="25.5" customHeight="1" x14ac:dyDescent="0.25">
      <c r="A12" s="14">
        <v>44488</v>
      </c>
      <c r="B12" s="15">
        <v>2816757</v>
      </c>
      <c r="C12" s="15" t="s">
        <v>9</v>
      </c>
      <c r="D12" s="129">
        <v>0</v>
      </c>
      <c r="E12" s="15"/>
      <c r="F12" s="15" t="s">
        <v>12</v>
      </c>
      <c r="G12" s="15" t="s">
        <v>2</v>
      </c>
      <c r="H12" s="15" t="s">
        <v>236</v>
      </c>
      <c r="I12" s="15" t="s">
        <v>236</v>
      </c>
      <c r="J12" s="15" t="s">
        <v>237</v>
      </c>
      <c r="K12" s="15" t="s">
        <v>238</v>
      </c>
      <c r="L12" s="15">
        <v>740</v>
      </c>
      <c r="M12" s="15">
        <v>0</v>
      </c>
      <c r="N12" s="15" t="s">
        <v>10</v>
      </c>
      <c r="O12" s="648"/>
      <c r="P12" s="646"/>
      <c r="Q12" s="632"/>
    </row>
    <row r="13" spans="1:17" ht="25.5" customHeight="1" x14ac:dyDescent="0.25">
      <c r="A13" s="10">
        <v>44490</v>
      </c>
      <c r="B13" s="11">
        <v>2010708278</v>
      </c>
      <c r="C13" s="11" t="s">
        <v>0</v>
      </c>
      <c r="D13" s="125">
        <v>125108.71</v>
      </c>
      <c r="E13" s="11" t="s">
        <v>60</v>
      </c>
      <c r="F13" s="11" t="s">
        <v>2</v>
      </c>
      <c r="G13" s="11" t="s">
        <v>3</v>
      </c>
      <c r="H13" s="11" t="s">
        <v>236</v>
      </c>
      <c r="I13" s="11" t="s">
        <v>236</v>
      </c>
      <c r="J13" s="11" t="s">
        <v>237</v>
      </c>
      <c r="K13" s="11" t="s">
        <v>238</v>
      </c>
      <c r="L13" s="11">
        <v>740</v>
      </c>
      <c r="M13" s="11">
        <v>28490</v>
      </c>
      <c r="N13" s="11" t="s">
        <v>8</v>
      </c>
      <c r="O13" s="637">
        <v>38408.373970000001</v>
      </c>
      <c r="P13" s="636">
        <f>O13/D13*100</f>
        <v>30.7</v>
      </c>
      <c r="Q13" s="630">
        <f>D13/(L13+L14)</f>
        <v>84.532912162162162</v>
      </c>
    </row>
    <row r="14" spans="1:17" ht="25.5" customHeight="1" x14ac:dyDescent="0.25">
      <c r="A14" s="10">
        <v>44491</v>
      </c>
      <c r="B14" s="11">
        <v>2816742</v>
      </c>
      <c r="C14" s="11" t="s">
        <v>9</v>
      </c>
      <c r="D14" s="125">
        <v>0</v>
      </c>
      <c r="E14" s="11"/>
      <c r="F14" s="11" t="s">
        <v>3</v>
      </c>
      <c r="G14" s="11" t="s">
        <v>2</v>
      </c>
      <c r="H14" s="11" t="s">
        <v>236</v>
      </c>
      <c r="I14" s="11" t="s">
        <v>236</v>
      </c>
      <c r="J14" s="11" t="s">
        <v>237</v>
      </c>
      <c r="K14" s="11" t="s">
        <v>238</v>
      </c>
      <c r="L14" s="11">
        <v>740</v>
      </c>
      <c r="M14" s="11">
        <v>0</v>
      </c>
      <c r="N14" s="11" t="s">
        <v>10</v>
      </c>
      <c r="O14" s="638"/>
      <c r="P14" s="636"/>
      <c r="Q14" s="630"/>
    </row>
    <row r="15" spans="1:17" ht="25.5" customHeight="1" x14ac:dyDescent="0.25">
      <c r="A15" s="16">
        <v>44493</v>
      </c>
      <c r="B15" s="17">
        <v>2010718713</v>
      </c>
      <c r="C15" s="17" t="s">
        <v>0</v>
      </c>
      <c r="D15" s="128">
        <v>113339.39</v>
      </c>
      <c r="E15" s="17" t="s">
        <v>1</v>
      </c>
      <c r="F15" s="17" t="s">
        <v>2</v>
      </c>
      <c r="G15" s="17" t="s">
        <v>188</v>
      </c>
      <c r="H15" s="17" t="s">
        <v>236</v>
      </c>
      <c r="I15" s="17" t="s">
        <v>236</v>
      </c>
      <c r="J15" s="17" t="s">
        <v>237</v>
      </c>
      <c r="K15" s="17" t="s">
        <v>238</v>
      </c>
      <c r="L15" s="17">
        <v>656</v>
      </c>
      <c r="M15" s="17">
        <v>27920</v>
      </c>
      <c r="N15" s="17" t="s">
        <v>38</v>
      </c>
      <c r="O15" s="644">
        <v>34795.192730000002</v>
      </c>
      <c r="P15" s="643">
        <f>O15/D15*100</f>
        <v>30.700000000000006</v>
      </c>
      <c r="Q15" s="628">
        <f>D15/(L15+L16)</f>
        <v>86.386730182926826</v>
      </c>
    </row>
    <row r="16" spans="1:17" ht="25.5" customHeight="1" x14ac:dyDescent="0.25">
      <c r="A16" s="16">
        <v>44494</v>
      </c>
      <c r="B16" s="17">
        <v>2816722</v>
      </c>
      <c r="C16" s="17" t="s">
        <v>9</v>
      </c>
      <c r="D16" s="128">
        <v>0</v>
      </c>
      <c r="E16" s="17"/>
      <c r="F16" s="17" t="s">
        <v>188</v>
      </c>
      <c r="G16" s="17" t="s">
        <v>2</v>
      </c>
      <c r="H16" s="17" t="s">
        <v>236</v>
      </c>
      <c r="I16" s="17" t="s">
        <v>236</v>
      </c>
      <c r="J16" s="17" t="s">
        <v>237</v>
      </c>
      <c r="K16" s="17" t="s">
        <v>238</v>
      </c>
      <c r="L16" s="17">
        <v>656</v>
      </c>
      <c r="M16" s="17">
        <v>0</v>
      </c>
      <c r="N16" s="17" t="s">
        <v>10</v>
      </c>
      <c r="O16" s="645"/>
      <c r="P16" s="643"/>
      <c r="Q16" s="628"/>
    </row>
    <row r="17" spans="1:17" ht="25.5" customHeight="1" x14ac:dyDescent="0.25">
      <c r="A17" s="12">
        <v>44496</v>
      </c>
      <c r="B17" s="13" t="s">
        <v>240</v>
      </c>
      <c r="C17" s="13" t="s">
        <v>0</v>
      </c>
      <c r="D17" s="127">
        <v>113339.39</v>
      </c>
      <c r="E17" s="13" t="s">
        <v>44</v>
      </c>
      <c r="F17" s="13" t="s">
        <v>2</v>
      </c>
      <c r="G17" s="13" t="s">
        <v>188</v>
      </c>
      <c r="H17" s="13" t="s">
        <v>236</v>
      </c>
      <c r="I17" s="13" t="s">
        <v>236</v>
      </c>
      <c r="J17" s="13" t="s">
        <v>237</v>
      </c>
      <c r="K17" s="13" t="s">
        <v>238</v>
      </c>
      <c r="L17" s="13">
        <v>656</v>
      </c>
      <c r="M17" s="13">
        <v>27930</v>
      </c>
      <c r="N17" s="13" t="s">
        <v>38</v>
      </c>
      <c r="O17" s="640">
        <v>34795.192730000002</v>
      </c>
      <c r="P17" s="639">
        <f>O17/D17*100</f>
        <v>30.700000000000006</v>
      </c>
      <c r="Q17" s="634">
        <f>D17/(L17+L18)</f>
        <v>86.386730182926826</v>
      </c>
    </row>
    <row r="18" spans="1:17" ht="25.5" customHeight="1" x14ac:dyDescent="0.25">
      <c r="A18" s="12">
        <v>44498</v>
      </c>
      <c r="B18" s="13">
        <v>2816704</v>
      </c>
      <c r="C18" s="13" t="s">
        <v>9</v>
      </c>
      <c r="D18" s="127">
        <v>0</v>
      </c>
      <c r="E18" s="13"/>
      <c r="F18" s="13" t="s">
        <v>188</v>
      </c>
      <c r="G18" s="13" t="s">
        <v>2</v>
      </c>
      <c r="H18" s="13" t="s">
        <v>236</v>
      </c>
      <c r="I18" s="13" t="s">
        <v>236</v>
      </c>
      <c r="J18" s="13" t="s">
        <v>237</v>
      </c>
      <c r="K18" s="13" t="s">
        <v>238</v>
      </c>
      <c r="L18" s="13">
        <v>656</v>
      </c>
      <c r="M18" s="13">
        <v>0</v>
      </c>
      <c r="N18" s="13" t="s">
        <v>10</v>
      </c>
      <c r="O18" s="642"/>
      <c r="P18" s="639"/>
      <c r="Q18" s="634"/>
    </row>
    <row r="19" spans="1:17" ht="25.5" customHeight="1" x14ac:dyDescent="0.25">
      <c r="A19" s="6">
        <v>44500</v>
      </c>
      <c r="B19" s="7">
        <v>2010745945</v>
      </c>
      <c r="C19" s="7" t="s">
        <v>0</v>
      </c>
      <c r="D19" s="8">
        <v>125108.71</v>
      </c>
      <c r="E19" s="7" t="s">
        <v>11</v>
      </c>
      <c r="F19" s="7" t="s">
        <v>2</v>
      </c>
      <c r="G19" s="7" t="s">
        <v>62</v>
      </c>
      <c r="H19" s="7" t="s">
        <v>236</v>
      </c>
      <c r="I19" s="7" t="s">
        <v>236</v>
      </c>
      <c r="J19" s="7" t="s">
        <v>237</v>
      </c>
      <c r="K19" s="7" t="s">
        <v>238</v>
      </c>
      <c r="L19" s="7">
        <v>740</v>
      </c>
      <c r="M19" s="7">
        <v>28870</v>
      </c>
      <c r="N19" s="7" t="s">
        <v>38</v>
      </c>
      <c r="O19" s="8">
        <v>38408.373970000001</v>
      </c>
      <c r="P19" s="28">
        <f>O19/D19*100</f>
        <v>30.7</v>
      </c>
      <c r="Q19" s="24">
        <f>D19/L19</f>
        <v>169.06582432432432</v>
      </c>
    </row>
    <row r="20" spans="1:17" x14ac:dyDescent="0.25">
      <c r="A20" s="9"/>
      <c r="B20" s="9"/>
      <c r="C20" s="9"/>
      <c r="D20" s="18">
        <f>SUM(D4:D19)</f>
        <v>930643.67</v>
      </c>
      <c r="E20" s="9"/>
      <c r="F20" s="9"/>
      <c r="G20" s="9"/>
      <c r="H20" s="9"/>
      <c r="I20" s="9"/>
      <c r="J20" s="9"/>
      <c r="K20" s="9"/>
      <c r="L20" s="9">
        <f>SUM(L4:L19)</f>
        <v>10935</v>
      </c>
      <c r="M20" s="9"/>
      <c r="N20" s="9"/>
      <c r="O20" s="24">
        <f>SUM(O4:O19)</f>
        <v>285707.60669000004</v>
      </c>
      <c r="P20" s="28">
        <f>O20/D20*100</f>
        <v>30.700000000000006</v>
      </c>
      <c r="Q20" s="26">
        <f>D20/L20</f>
        <v>85.106874256973029</v>
      </c>
    </row>
    <row r="22" spans="1:17" x14ac:dyDescent="0.25">
      <c r="A22" s="99" t="s">
        <v>322</v>
      </c>
      <c r="B22" s="100" t="s">
        <v>328</v>
      </c>
      <c r="C22" s="101"/>
      <c r="D22" s="102"/>
    </row>
    <row r="23" spans="1:17" x14ac:dyDescent="0.25">
      <c r="A23" s="103">
        <f>D20/L20</f>
        <v>85.106874256973029</v>
      </c>
      <c r="B23" s="9"/>
      <c r="C23" s="104"/>
      <c r="D23" s="105"/>
    </row>
    <row r="24" spans="1:17" x14ac:dyDescent="0.25">
      <c r="D24" s="25"/>
    </row>
    <row r="25" spans="1:17" x14ac:dyDescent="0.25">
      <c r="A25" s="36"/>
      <c r="B25" s="36" t="s">
        <v>329</v>
      </c>
      <c r="C25" s="36" t="s">
        <v>330</v>
      </c>
      <c r="D25" s="106" t="s">
        <v>238</v>
      </c>
    </row>
    <row r="26" spans="1:17" x14ac:dyDescent="0.25">
      <c r="A26" s="7" t="s">
        <v>331</v>
      </c>
      <c r="B26" s="42">
        <f>D20</f>
        <v>930643.67</v>
      </c>
      <c r="C26" s="45">
        <f>B27</f>
        <v>285707.60669000004</v>
      </c>
      <c r="D26" s="46">
        <f>C26/B26</f>
        <v>0.30700000000000005</v>
      </c>
    </row>
    <row r="27" spans="1:17" x14ac:dyDescent="0.25">
      <c r="A27" s="47" t="s">
        <v>27</v>
      </c>
      <c r="B27" s="24">
        <f>O20</f>
        <v>285707.60669000004</v>
      </c>
      <c r="C27" s="9"/>
      <c r="D27" s="25"/>
    </row>
    <row r="28" spans="1:17" x14ac:dyDescent="0.25">
      <c r="A28" s="48" t="s">
        <v>332</v>
      </c>
      <c r="B28" s="107"/>
      <c r="C28" s="49">
        <f>(12*(78578.313+12454.55))/(150000+80000)*L20</f>
        <v>51936.227316782606</v>
      </c>
      <c r="D28" s="25"/>
    </row>
    <row r="29" spans="1:17" x14ac:dyDescent="0.25">
      <c r="A29" s="48" t="s">
        <v>335</v>
      </c>
      <c r="B29" s="107"/>
      <c r="C29" s="42"/>
      <c r="D29" s="25"/>
    </row>
    <row r="30" spans="1:17" x14ac:dyDescent="0.25">
      <c r="A30" s="48" t="s">
        <v>336</v>
      </c>
      <c r="B30" s="107"/>
      <c r="C30" s="42">
        <f>'PATENTE MUNICIPAL'!I45</f>
        <v>20.833333333333332</v>
      </c>
      <c r="D30" s="25"/>
    </row>
    <row r="31" spans="1:17" x14ac:dyDescent="0.25">
      <c r="A31" s="48" t="s">
        <v>337</v>
      </c>
      <c r="B31" s="107"/>
      <c r="C31" s="42">
        <f>SEGURO!K49</f>
        <v>261.09831688804553</v>
      </c>
      <c r="D31" s="25"/>
    </row>
    <row r="32" spans="1:17" x14ac:dyDescent="0.25">
      <c r="A32" s="48" t="s">
        <v>339</v>
      </c>
      <c r="B32" s="107"/>
      <c r="C32" s="42">
        <f>'GASTOS SEMI'!H133</f>
        <v>2873</v>
      </c>
      <c r="D32" s="25"/>
    </row>
    <row r="33" spans="1:4" x14ac:dyDescent="0.25">
      <c r="A33" s="48" t="s">
        <v>340</v>
      </c>
      <c r="B33" s="107"/>
      <c r="C33" s="51">
        <f>SUM(C28:C32)</f>
        <v>55091.15896700399</v>
      </c>
      <c r="D33" s="25"/>
    </row>
    <row r="34" spans="1:4" x14ac:dyDescent="0.25">
      <c r="A34" s="36" t="s">
        <v>341</v>
      </c>
      <c r="B34" s="107"/>
      <c r="C34" s="53">
        <f>C26-C27-C33</f>
        <v>230616.44772299606</v>
      </c>
      <c r="D34" s="106">
        <f>+B34+C34</f>
        <v>230616.44772299606</v>
      </c>
    </row>
  </sheetData>
  <sortState xmlns:xlrd2="http://schemas.microsoft.com/office/spreadsheetml/2017/richdata2" ref="A2:P18">
    <sortCondition ref="A1"/>
  </sortState>
  <mergeCells count="22"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  <mergeCell ref="Q13:Q14"/>
    <mergeCell ref="P13:P14"/>
    <mergeCell ref="O13:O14"/>
    <mergeCell ref="Q11:Q12"/>
    <mergeCell ref="P11:P12"/>
    <mergeCell ref="O11:O12"/>
    <mergeCell ref="Q17:Q18"/>
    <mergeCell ref="P17:P18"/>
    <mergeCell ref="O17:O18"/>
    <mergeCell ref="Q15:Q16"/>
    <mergeCell ref="P15:P16"/>
    <mergeCell ref="O15:O1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B050"/>
  </sheetPr>
  <dimension ref="A1:Q35"/>
  <sheetViews>
    <sheetView topLeftCell="A19" zoomScaleNormal="100" workbookViewId="0">
      <selection activeCell="C33" sqref="C33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43.85546875" style="2" bestFit="1" customWidth="1"/>
    <col min="8" max="8" width="9" style="2" bestFit="1" customWidth="1"/>
    <col min="9" max="9" width="25" style="2" bestFit="1" customWidth="1"/>
    <col min="10" max="10" width="8.28515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7" t="s">
        <v>380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44472</v>
      </c>
      <c r="B4" s="11">
        <v>2010606189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12</v>
      </c>
      <c r="H4" s="11" t="s">
        <v>63</v>
      </c>
      <c r="I4" s="11" t="s">
        <v>159</v>
      </c>
      <c r="J4" s="11" t="s">
        <v>160</v>
      </c>
      <c r="K4" s="11" t="s">
        <v>161</v>
      </c>
      <c r="L4" s="11">
        <v>740</v>
      </c>
      <c r="M4" s="11">
        <v>29550</v>
      </c>
      <c r="N4" s="11" t="s">
        <v>8</v>
      </c>
      <c r="O4" s="630">
        <v>38408.373970000001</v>
      </c>
      <c r="P4" s="631">
        <f>O4/D4*100</f>
        <v>30.7</v>
      </c>
      <c r="Q4" s="630">
        <f>D4/(L4+L5)</f>
        <v>84.532912162162162</v>
      </c>
    </row>
    <row r="5" spans="1:17" ht="25.5" customHeight="1" x14ac:dyDescent="0.25">
      <c r="A5" s="10">
        <v>44473</v>
      </c>
      <c r="B5" s="11">
        <v>2816836</v>
      </c>
      <c r="C5" s="11" t="s">
        <v>9</v>
      </c>
      <c r="D5" s="125">
        <v>0</v>
      </c>
      <c r="E5" s="11"/>
      <c r="F5" s="11" t="s">
        <v>12</v>
      </c>
      <c r="G5" s="11" t="s">
        <v>2</v>
      </c>
      <c r="H5" s="11" t="s">
        <v>63</v>
      </c>
      <c r="I5" s="11" t="s">
        <v>159</v>
      </c>
      <c r="J5" s="11" t="s">
        <v>160</v>
      </c>
      <c r="K5" s="11" t="s">
        <v>161</v>
      </c>
      <c r="L5" s="11">
        <v>740</v>
      </c>
      <c r="M5" s="11">
        <v>0</v>
      </c>
      <c r="N5" s="11" t="s">
        <v>10</v>
      </c>
      <c r="O5" s="630"/>
      <c r="P5" s="631"/>
      <c r="Q5" s="630"/>
    </row>
    <row r="6" spans="1:17" ht="25.5" customHeight="1" x14ac:dyDescent="0.25">
      <c r="A6" s="16">
        <v>44475</v>
      </c>
      <c r="B6" s="17">
        <v>2010632476</v>
      </c>
      <c r="C6" s="17" t="s">
        <v>0</v>
      </c>
      <c r="D6" s="128">
        <v>125108.71</v>
      </c>
      <c r="E6" s="17" t="s">
        <v>34</v>
      </c>
      <c r="F6" s="17" t="s">
        <v>2</v>
      </c>
      <c r="G6" s="17" t="s">
        <v>162</v>
      </c>
      <c r="H6" s="17" t="s">
        <v>63</v>
      </c>
      <c r="I6" s="17" t="s">
        <v>159</v>
      </c>
      <c r="J6" s="17" t="s">
        <v>160</v>
      </c>
      <c r="K6" s="17" t="s">
        <v>161</v>
      </c>
      <c r="L6" s="17">
        <v>740</v>
      </c>
      <c r="M6" s="17">
        <v>28990</v>
      </c>
      <c r="N6" s="17" t="s">
        <v>8</v>
      </c>
      <c r="O6" s="628">
        <v>38408.373970000001</v>
      </c>
      <c r="P6" s="629">
        <f>O6/D6*100</f>
        <v>30.7</v>
      </c>
      <c r="Q6" s="628">
        <f>D6/(L6+L7)</f>
        <v>84.532912162162162</v>
      </c>
    </row>
    <row r="7" spans="1:17" ht="25.5" customHeight="1" x14ac:dyDescent="0.25">
      <c r="A7" s="16">
        <v>44476</v>
      </c>
      <c r="B7" s="17">
        <v>2816825</v>
      </c>
      <c r="C7" s="17" t="s">
        <v>9</v>
      </c>
      <c r="D7" s="128">
        <v>0</v>
      </c>
      <c r="E7" s="17"/>
      <c r="F7" s="17" t="s">
        <v>162</v>
      </c>
      <c r="G7" s="17" t="s">
        <v>2</v>
      </c>
      <c r="H7" s="17" t="s">
        <v>63</v>
      </c>
      <c r="I7" s="17" t="s">
        <v>159</v>
      </c>
      <c r="J7" s="17" t="s">
        <v>160</v>
      </c>
      <c r="K7" s="17" t="s">
        <v>161</v>
      </c>
      <c r="L7" s="17">
        <v>740</v>
      </c>
      <c r="M7" s="17">
        <v>0</v>
      </c>
      <c r="N7" s="17" t="s">
        <v>10</v>
      </c>
      <c r="O7" s="628"/>
      <c r="P7" s="629"/>
      <c r="Q7" s="628"/>
    </row>
    <row r="8" spans="1:17" ht="25.5" customHeight="1" x14ac:dyDescent="0.25">
      <c r="A8" s="12">
        <v>44477</v>
      </c>
      <c r="B8" s="13">
        <v>2010635450</v>
      </c>
      <c r="C8" s="13" t="s">
        <v>0</v>
      </c>
      <c r="D8" s="127">
        <v>125108.71</v>
      </c>
      <c r="E8" s="13" t="s">
        <v>34</v>
      </c>
      <c r="F8" s="13" t="s">
        <v>2</v>
      </c>
      <c r="G8" s="13" t="s">
        <v>12</v>
      </c>
      <c r="H8" s="13" t="s">
        <v>63</v>
      </c>
      <c r="I8" s="13" t="s">
        <v>159</v>
      </c>
      <c r="J8" s="13" t="s">
        <v>160</v>
      </c>
      <c r="K8" s="13" t="s">
        <v>161</v>
      </c>
      <c r="L8" s="13">
        <v>740</v>
      </c>
      <c r="M8" s="13">
        <v>29370</v>
      </c>
      <c r="N8" s="13" t="s">
        <v>8</v>
      </c>
      <c r="O8" s="634">
        <v>38408.373970000001</v>
      </c>
      <c r="P8" s="635">
        <f>O8/D8*100</f>
        <v>30.7</v>
      </c>
      <c r="Q8" s="634">
        <f>D8/(L8+L9)</f>
        <v>84.532912162162162</v>
      </c>
    </row>
    <row r="9" spans="1:17" ht="25.5" customHeight="1" x14ac:dyDescent="0.25">
      <c r="A9" s="12">
        <v>44479</v>
      </c>
      <c r="B9" s="13"/>
      <c r="C9" s="13" t="s">
        <v>9</v>
      </c>
      <c r="D9" s="127">
        <v>0</v>
      </c>
      <c r="E9" s="13"/>
      <c r="F9" s="13" t="s">
        <v>12</v>
      </c>
      <c r="G9" s="13" t="s">
        <v>2</v>
      </c>
      <c r="H9" s="13" t="s">
        <v>63</v>
      </c>
      <c r="I9" s="13" t="s">
        <v>159</v>
      </c>
      <c r="J9" s="13" t="s">
        <v>160</v>
      </c>
      <c r="K9" s="13" t="s">
        <v>161</v>
      </c>
      <c r="L9" s="13">
        <v>740</v>
      </c>
      <c r="M9" s="13">
        <v>0</v>
      </c>
      <c r="N9" s="13" t="s">
        <v>10</v>
      </c>
      <c r="O9" s="634"/>
      <c r="P9" s="635"/>
      <c r="Q9" s="634"/>
    </row>
    <row r="10" spans="1:17" ht="25.5" customHeight="1" x14ac:dyDescent="0.25">
      <c r="A10" s="14">
        <v>44482</v>
      </c>
      <c r="B10" s="15">
        <v>2010609208</v>
      </c>
      <c r="C10" s="15" t="s">
        <v>0</v>
      </c>
      <c r="D10" s="129">
        <v>77351.820000000007</v>
      </c>
      <c r="E10" s="15" t="s">
        <v>39</v>
      </c>
      <c r="F10" s="15" t="s">
        <v>2</v>
      </c>
      <c r="G10" s="15" t="s">
        <v>163</v>
      </c>
      <c r="H10" s="15" t="s">
        <v>63</v>
      </c>
      <c r="I10" s="15" t="s">
        <v>164</v>
      </c>
      <c r="J10" s="15" t="s">
        <v>160</v>
      </c>
      <c r="K10" s="15" t="s">
        <v>161</v>
      </c>
      <c r="L10" s="15">
        <v>434</v>
      </c>
      <c r="M10" s="15">
        <v>29570</v>
      </c>
      <c r="N10" s="15" t="s">
        <v>38</v>
      </c>
      <c r="O10" s="632">
        <v>23747.008740000001</v>
      </c>
      <c r="P10" s="633">
        <f>O10/D10*100</f>
        <v>30.7</v>
      </c>
      <c r="Q10" s="632">
        <f>D10/(L10+L11)</f>
        <v>89.115000000000009</v>
      </c>
    </row>
    <row r="11" spans="1:17" ht="25.5" customHeight="1" x14ac:dyDescent="0.25">
      <c r="A11" s="14">
        <v>44483</v>
      </c>
      <c r="B11" s="15">
        <v>2816788</v>
      </c>
      <c r="C11" s="15" t="s">
        <v>9</v>
      </c>
      <c r="D11" s="129">
        <v>0</v>
      </c>
      <c r="E11" s="15"/>
      <c r="F11" s="15" t="s">
        <v>163</v>
      </c>
      <c r="G11" s="15" t="s">
        <v>2</v>
      </c>
      <c r="H11" s="15" t="s">
        <v>63</v>
      </c>
      <c r="I11" s="15" t="s">
        <v>164</v>
      </c>
      <c r="J11" s="15" t="s">
        <v>160</v>
      </c>
      <c r="K11" s="15" t="s">
        <v>161</v>
      </c>
      <c r="L11" s="15">
        <v>434</v>
      </c>
      <c r="M11" s="15">
        <v>0</v>
      </c>
      <c r="N11" s="15" t="s">
        <v>10</v>
      </c>
      <c r="O11" s="632"/>
      <c r="P11" s="633"/>
      <c r="Q11" s="632"/>
    </row>
    <row r="12" spans="1:17" ht="25.5" customHeight="1" x14ac:dyDescent="0.25">
      <c r="A12" s="10">
        <v>44485</v>
      </c>
      <c r="B12" s="11">
        <v>2010688700</v>
      </c>
      <c r="C12" s="11" t="s">
        <v>0</v>
      </c>
      <c r="D12" s="125">
        <v>125108.71</v>
      </c>
      <c r="E12" s="11" t="s">
        <v>166</v>
      </c>
      <c r="F12" s="11" t="s">
        <v>2</v>
      </c>
      <c r="G12" s="11" t="s">
        <v>167</v>
      </c>
      <c r="H12" s="11" t="s">
        <v>63</v>
      </c>
      <c r="I12" s="11" t="s">
        <v>159</v>
      </c>
      <c r="J12" s="11" t="s">
        <v>160</v>
      </c>
      <c r="K12" s="11" t="s">
        <v>161</v>
      </c>
      <c r="L12" s="11">
        <v>740</v>
      </c>
      <c r="M12" s="11">
        <v>29700</v>
      </c>
      <c r="N12" s="11" t="s">
        <v>38</v>
      </c>
      <c r="O12" s="630">
        <v>51252.43</v>
      </c>
      <c r="P12" s="631">
        <f>O12/(D12+D13+D14)*100</f>
        <v>30.699999275214871</v>
      </c>
      <c r="Q12" s="630">
        <f>(D12+D13+D14)/(L12+L13+L14+L15)</f>
        <v>112.80137162162163</v>
      </c>
    </row>
    <row r="13" spans="1:17" ht="25.5" customHeight="1" x14ac:dyDescent="0.25">
      <c r="A13" s="10">
        <v>44485</v>
      </c>
      <c r="B13" s="11" t="s">
        <v>165</v>
      </c>
      <c r="C13" s="11" t="s">
        <v>0</v>
      </c>
      <c r="D13" s="125">
        <v>40537.32</v>
      </c>
      <c r="E13" s="11" t="s">
        <v>166</v>
      </c>
      <c r="F13" s="11" t="s">
        <v>2</v>
      </c>
      <c r="G13" s="11" t="s">
        <v>167</v>
      </c>
      <c r="H13" s="11" t="s">
        <v>63</v>
      </c>
      <c r="I13" s="11" t="s">
        <v>159</v>
      </c>
      <c r="J13" s="11" t="s">
        <v>160</v>
      </c>
      <c r="K13" s="11" t="s">
        <v>161</v>
      </c>
      <c r="L13" s="11">
        <v>0</v>
      </c>
      <c r="M13" s="11">
        <v>0</v>
      </c>
      <c r="N13" s="11" t="s">
        <v>38</v>
      </c>
      <c r="O13" s="630"/>
      <c r="P13" s="631"/>
      <c r="Q13" s="630"/>
    </row>
    <row r="14" spans="1:17" ht="25.5" customHeight="1" x14ac:dyDescent="0.25">
      <c r="A14" s="10">
        <v>44487</v>
      </c>
      <c r="B14" s="11" t="s">
        <v>168</v>
      </c>
      <c r="C14" s="11" t="s">
        <v>0</v>
      </c>
      <c r="D14" s="125">
        <v>1300</v>
      </c>
      <c r="E14" s="11" t="s">
        <v>166</v>
      </c>
      <c r="F14" s="11" t="s">
        <v>2</v>
      </c>
      <c r="G14" s="11" t="s">
        <v>167</v>
      </c>
      <c r="H14" s="11" t="s">
        <v>63</v>
      </c>
      <c r="I14" s="11" t="s">
        <v>159</v>
      </c>
      <c r="J14" s="11" t="s">
        <v>160</v>
      </c>
      <c r="K14" s="11" t="s">
        <v>161</v>
      </c>
      <c r="L14" s="11">
        <v>0</v>
      </c>
      <c r="M14" s="11">
        <v>0</v>
      </c>
      <c r="N14" s="11" t="s">
        <v>10</v>
      </c>
      <c r="O14" s="630"/>
      <c r="P14" s="631"/>
      <c r="Q14" s="630"/>
    </row>
    <row r="15" spans="1:17" ht="25.5" customHeight="1" x14ac:dyDescent="0.25">
      <c r="A15" s="10">
        <v>44491</v>
      </c>
      <c r="B15" s="11">
        <v>2816780</v>
      </c>
      <c r="C15" s="11" t="s">
        <v>9</v>
      </c>
      <c r="D15" s="125">
        <v>0</v>
      </c>
      <c r="E15" s="11"/>
      <c r="F15" s="11" t="s">
        <v>167</v>
      </c>
      <c r="G15" s="11" t="s">
        <v>2</v>
      </c>
      <c r="H15" s="11" t="s">
        <v>63</v>
      </c>
      <c r="I15" s="11" t="s">
        <v>159</v>
      </c>
      <c r="J15" s="11" t="s">
        <v>160</v>
      </c>
      <c r="K15" s="11" t="s">
        <v>161</v>
      </c>
      <c r="L15" s="11">
        <v>740</v>
      </c>
      <c r="M15" s="11">
        <v>29200</v>
      </c>
      <c r="N15" s="11" t="s">
        <v>10</v>
      </c>
      <c r="O15" s="630"/>
      <c r="P15" s="631"/>
      <c r="Q15" s="630"/>
    </row>
    <row r="16" spans="1:17" ht="25.5" customHeight="1" x14ac:dyDescent="0.25">
      <c r="A16" s="16">
        <v>44492</v>
      </c>
      <c r="B16" s="17">
        <v>2010715468</v>
      </c>
      <c r="C16" s="17" t="s">
        <v>0</v>
      </c>
      <c r="D16" s="128">
        <v>125108.71</v>
      </c>
      <c r="E16" s="17" t="s">
        <v>1</v>
      </c>
      <c r="F16" s="17" t="s">
        <v>2</v>
      </c>
      <c r="G16" s="17" t="s">
        <v>3</v>
      </c>
      <c r="H16" s="17" t="s">
        <v>63</v>
      </c>
      <c r="I16" s="17" t="s">
        <v>159</v>
      </c>
      <c r="J16" s="17" t="s">
        <v>160</v>
      </c>
      <c r="K16" s="17" t="s">
        <v>161</v>
      </c>
      <c r="L16" s="17">
        <v>740</v>
      </c>
      <c r="M16" s="17">
        <v>29860</v>
      </c>
      <c r="N16" s="17" t="s">
        <v>8</v>
      </c>
      <c r="O16" s="628">
        <v>38408.373970000001</v>
      </c>
      <c r="P16" s="629">
        <f>O16/D16*100</f>
        <v>30.7</v>
      </c>
      <c r="Q16" s="628">
        <f>D16/(L16+L17)</f>
        <v>84.532912162162162</v>
      </c>
    </row>
    <row r="17" spans="1:17" ht="25.5" customHeight="1" x14ac:dyDescent="0.25">
      <c r="A17" s="16">
        <v>44494</v>
      </c>
      <c r="B17" s="17">
        <v>2816728</v>
      </c>
      <c r="C17" s="17" t="s">
        <v>9</v>
      </c>
      <c r="D17" s="128">
        <v>0</v>
      </c>
      <c r="E17" s="17"/>
      <c r="F17" s="17" t="s">
        <v>3</v>
      </c>
      <c r="G17" s="17" t="s">
        <v>2</v>
      </c>
      <c r="H17" s="17" t="s">
        <v>63</v>
      </c>
      <c r="I17" s="17" t="s">
        <v>159</v>
      </c>
      <c r="J17" s="17" t="s">
        <v>160</v>
      </c>
      <c r="K17" s="17" t="s">
        <v>161</v>
      </c>
      <c r="L17" s="17">
        <v>740</v>
      </c>
      <c r="M17" s="17">
        <v>0</v>
      </c>
      <c r="N17" s="17" t="s">
        <v>10</v>
      </c>
      <c r="O17" s="628"/>
      <c r="P17" s="629"/>
      <c r="Q17" s="628"/>
    </row>
    <row r="18" spans="1:17" ht="25.5" customHeight="1" x14ac:dyDescent="0.25">
      <c r="A18" s="12">
        <v>44496</v>
      </c>
      <c r="B18" s="13">
        <v>2010721174</v>
      </c>
      <c r="C18" s="13" t="s">
        <v>0</v>
      </c>
      <c r="D18" s="127">
        <v>149057.13</v>
      </c>
      <c r="E18" s="13" t="s">
        <v>44</v>
      </c>
      <c r="F18" s="13" t="s">
        <v>2</v>
      </c>
      <c r="G18" s="13" t="s">
        <v>42</v>
      </c>
      <c r="H18" s="13" t="s">
        <v>63</v>
      </c>
      <c r="I18" s="13" t="s">
        <v>159</v>
      </c>
      <c r="J18" s="13" t="s">
        <v>160</v>
      </c>
      <c r="K18" s="13" t="s">
        <v>161</v>
      </c>
      <c r="L18" s="13">
        <v>879</v>
      </c>
      <c r="M18" s="13">
        <v>29200</v>
      </c>
      <c r="N18" s="13" t="s">
        <v>8</v>
      </c>
      <c r="O18" s="634">
        <v>45760.538910000003</v>
      </c>
      <c r="P18" s="635">
        <f>O18/D18*100</f>
        <v>30.7</v>
      </c>
      <c r="Q18" s="634">
        <f>D18/(L18+L19)</f>
        <v>84.787901023890782</v>
      </c>
    </row>
    <row r="19" spans="1:17" ht="25.5" customHeight="1" x14ac:dyDescent="0.25">
      <c r="A19" s="12">
        <v>44497</v>
      </c>
      <c r="B19" s="13">
        <v>2816708</v>
      </c>
      <c r="C19" s="13" t="s">
        <v>9</v>
      </c>
      <c r="D19" s="127">
        <v>0</v>
      </c>
      <c r="E19" s="13"/>
      <c r="F19" s="13" t="s">
        <v>42</v>
      </c>
      <c r="G19" s="13" t="s">
        <v>2</v>
      </c>
      <c r="H19" s="13" t="s">
        <v>63</v>
      </c>
      <c r="I19" s="13" t="s">
        <v>159</v>
      </c>
      <c r="J19" s="13" t="s">
        <v>160</v>
      </c>
      <c r="K19" s="13" t="s">
        <v>161</v>
      </c>
      <c r="L19" s="13">
        <v>879</v>
      </c>
      <c r="M19" s="13">
        <v>0</v>
      </c>
      <c r="N19" s="13" t="s">
        <v>10</v>
      </c>
      <c r="O19" s="634"/>
      <c r="P19" s="635"/>
      <c r="Q19" s="634"/>
    </row>
    <row r="20" spans="1:17" ht="25.5" customHeight="1" x14ac:dyDescent="0.25">
      <c r="A20" s="6">
        <v>44499</v>
      </c>
      <c r="B20" s="7">
        <v>2010721602</v>
      </c>
      <c r="C20" s="7" t="s">
        <v>0</v>
      </c>
      <c r="D20" s="8">
        <v>125108.71</v>
      </c>
      <c r="E20" s="7" t="s">
        <v>11</v>
      </c>
      <c r="F20" s="7" t="s">
        <v>2</v>
      </c>
      <c r="G20" s="7" t="s">
        <v>12</v>
      </c>
      <c r="H20" s="7" t="s">
        <v>63</v>
      </c>
      <c r="I20" s="7" t="s">
        <v>159</v>
      </c>
      <c r="J20" s="7" t="s">
        <v>160</v>
      </c>
      <c r="K20" s="7" t="s">
        <v>161</v>
      </c>
      <c r="L20" s="7">
        <v>740</v>
      </c>
      <c r="M20" s="7">
        <v>29540</v>
      </c>
      <c r="N20" s="7" t="s">
        <v>8</v>
      </c>
      <c r="O20" s="24">
        <v>38408.373970000001</v>
      </c>
      <c r="P20" s="64">
        <f>O20/D20*100</f>
        <v>30.7</v>
      </c>
      <c r="Q20" s="24">
        <f>D20/L20</f>
        <v>169.06582432432432</v>
      </c>
    </row>
    <row r="21" spans="1:17" x14ac:dyDescent="0.25">
      <c r="A21" s="9"/>
      <c r="B21" s="9"/>
      <c r="C21" s="9"/>
      <c r="D21" s="18">
        <f>SUM(D4:D20)</f>
        <v>1018898.5299999999</v>
      </c>
      <c r="E21" s="9"/>
      <c r="F21" s="9"/>
      <c r="G21" s="9"/>
      <c r="H21" s="9"/>
      <c r="I21" s="9"/>
      <c r="J21" s="9"/>
      <c r="K21" s="9"/>
      <c r="L21" s="9">
        <f>SUM(L4:L20)</f>
        <v>10766</v>
      </c>
      <c r="M21" s="9"/>
      <c r="N21" s="9"/>
      <c r="O21" s="24">
        <f>SUM(O4:O20)</f>
        <v>312801.84750000003</v>
      </c>
      <c r="P21" s="64">
        <f>O21/D21*100</f>
        <v>30.699999881244317</v>
      </c>
      <c r="Q21" s="26">
        <f>D21/L21</f>
        <v>94.64039847668586</v>
      </c>
    </row>
    <row r="23" spans="1:17" x14ac:dyDescent="0.25">
      <c r="A23" s="99" t="s">
        <v>322</v>
      </c>
      <c r="B23" s="100" t="s">
        <v>328</v>
      </c>
      <c r="C23" s="101"/>
      <c r="D23" s="102"/>
    </row>
    <row r="24" spans="1:17" x14ac:dyDescent="0.25">
      <c r="A24" s="103">
        <f>D21/L21</f>
        <v>94.64039847668586</v>
      </c>
      <c r="B24" s="9"/>
      <c r="C24" s="104"/>
      <c r="D24" s="105"/>
    </row>
    <row r="25" spans="1:17" x14ac:dyDescent="0.25">
      <c r="D25" s="25"/>
    </row>
    <row r="26" spans="1:17" x14ac:dyDescent="0.25">
      <c r="A26" s="36"/>
      <c r="B26" s="36" t="s">
        <v>329</v>
      </c>
      <c r="C26" s="36" t="s">
        <v>330</v>
      </c>
      <c r="D26" s="106" t="s">
        <v>161</v>
      </c>
    </row>
    <row r="27" spans="1:17" x14ac:dyDescent="0.25">
      <c r="A27" s="7" t="s">
        <v>331</v>
      </c>
      <c r="B27" s="42">
        <f>D21</f>
        <v>1018898.5299999999</v>
      </c>
      <c r="C27" s="45">
        <f>B28</f>
        <v>312801.84750000003</v>
      </c>
      <c r="D27" s="46">
        <f>C27/B27</f>
        <v>0.30699999881244316</v>
      </c>
    </row>
    <row r="28" spans="1:17" x14ac:dyDescent="0.25">
      <c r="A28" s="47" t="s">
        <v>27</v>
      </c>
      <c r="B28" s="24">
        <f>O21</f>
        <v>312801.84750000003</v>
      </c>
      <c r="C28" s="9"/>
      <c r="D28" s="25"/>
    </row>
    <row r="29" spans="1:17" x14ac:dyDescent="0.25">
      <c r="A29" s="48" t="s">
        <v>332</v>
      </c>
      <c r="B29" s="107"/>
      <c r="C29" s="49">
        <f>(12*(78578.313+12454.55))/(150000+80000)*L21</f>
        <v>51133.554942156523</v>
      </c>
      <c r="D29" s="25"/>
    </row>
    <row r="30" spans="1:17" x14ac:dyDescent="0.25">
      <c r="A30" s="48" t="s">
        <v>335</v>
      </c>
      <c r="B30" s="107"/>
      <c r="C30" s="42">
        <f>'PATENTE PROVINCIAL'!N75</f>
        <v>1183.5</v>
      </c>
      <c r="D30" s="25"/>
    </row>
    <row r="31" spans="1:17" x14ac:dyDescent="0.25">
      <c r="A31" s="48" t="s">
        <v>336</v>
      </c>
      <c r="B31" s="107"/>
      <c r="C31" s="42">
        <f>'PATENTE MUNICIPAL'!I82</f>
        <v>1655.8966666666665</v>
      </c>
      <c r="D31" s="25"/>
    </row>
    <row r="32" spans="1:17" x14ac:dyDescent="0.25">
      <c r="A32" s="48" t="s">
        <v>337</v>
      </c>
      <c r="B32" s="107"/>
      <c r="C32" s="42">
        <f>SEGURO!K86</f>
        <v>248.33218785578745</v>
      </c>
      <c r="D32" s="25"/>
    </row>
    <row r="33" spans="1:4" x14ac:dyDescent="0.25">
      <c r="A33" s="48" t="s">
        <v>339</v>
      </c>
      <c r="B33" s="107"/>
      <c r="C33" s="42"/>
      <c r="D33" s="25"/>
    </row>
    <row r="34" spans="1:4" x14ac:dyDescent="0.25">
      <c r="A34" s="48" t="s">
        <v>340</v>
      </c>
      <c r="B34" s="107"/>
      <c r="C34" s="51">
        <f>SUM(C29:C33)</f>
        <v>54221.283796678981</v>
      </c>
      <c r="D34" s="25"/>
    </row>
    <row r="35" spans="1:4" x14ac:dyDescent="0.25">
      <c r="A35" s="36" t="s">
        <v>341</v>
      </c>
      <c r="B35" s="107"/>
      <c r="C35" s="53">
        <f>C27-C28-C34</f>
        <v>258580.56370332104</v>
      </c>
      <c r="D35" s="106">
        <f>+B35+C35</f>
        <v>258580.56370332104</v>
      </c>
    </row>
  </sheetData>
  <sortState xmlns:xlrd2="http://schemas.microsoft.com/office/spreadsheetml/2017/richdata2" ref="A2:P18">
    <sortCondition ref="A1"/>
  </sortState>
  <mergeCells count="22">
    <mergeCell ref="Q4:Q5"/>
    <mergeCell ref="P4:P5"/>
    <mergeCell ref="O4:O5"/>
    <mergeCell ref="A1:Q2"/>
    <mergeCell ref="Q8:Q9"/>
    <mergeCell ref="P8:P9"/>
    <mergeCell ref="O8:O9"/>
    <mergeCell ref="Q6:Q7"/>
    <mergeCell ref="P6:P7"/>
    <mergeCell ref="O6:O7"/>
    <mergeCell ref="Q12:Q15"/>
    <mergeCell ref="P12:P15"/>
    <mergeCell ref="O12:O15"/>
    <mergeCell ref="Q10:Q11"/>
    <mergeCell ref="P10:P11"/>
    <mergeCell ref="O10:O11"/>
    <mergeCell ref="Q18:Q19"/>
    <mergeCell ref="P18:P19"/>
    <mergeCell ref="O18:O19"/>
    <mergeCell ref="Q16:Q17"/>
    <mergeCell ref="P16:P17"/>
    <mergeCell ref="O16:O1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B050"/>
  </sheetPr>
  <dimension ref="A1:Q32"/>
  <sheetViews>
    <sheetView topLeftCell="A16" zoomScaleNormal="100" workbookViewId="0">
      <selection activeCell="C31" sqref="C31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4.28515625" style="2" bestFit="1" customWidth="1"/>
    <col min="8" max="8" width="9" style="2" bestFit="1" customWidth="1"/>
    <col min="9" max="9" width="23" style="2" bestFit="1" customWidth="1"/>
    <col min="10" max="10" width="8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7" t="s">
        <v>381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44474</v>
      </c>
      <c r="B4" s="11">
        <v>2010642039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3</v>
      </c>
      <c r="H4" s="11" t="s">
        <v>63</v>
      </c>
      <c r="I4" s="11" t="s">
        <v>164</v>
      </c>
      <c r="J4" s="11" t="s">
        <v>299</v>
      </c>
      <c r="K4" s="11" t="s">
        <v>300</v>
      </c>
      <c r="L4" s="11">
        <v>740</v>
      </c>
      <c r="M4" s="11">
        <v>29550</v>
      </c>
      <c r="N4" s="11" t="s">
        <v>8</v>
      </c>
      <c r="O4" s="637">
        <v>38408.373970000001</v>
      </c>
      <c r="P4" s="636">
        <f>O4/D4*100</f>
        <v>30.7</v>
      </c>
      <c r="Q4" s="630">
        <f>D4/(L4+L5)</f>
        <v>84.532912162162162</v>
      </c>
    </row>
    <row r="5" spans="1:17" ht="25.5" customHeight="1" x14ac:dyDescent="0.25">
      <c r="A5" s="10">
        <v>44476</v>
      </c>
      <c r="B5" s="11">
        <v>2816826</v>
      </c>
      <c r="C5" s="11" t="s">
        <v>9</v>
      </c>
      <c r="D5" s="125">
        <v>0</v>
      </c>
      <c r="E5" s="11"/>
      <c r="F5" s="11" t="s">
        <v>3</v>
      </c>
      <c r="G5" s="11" t="s">
        <v>2</v>
      </c>
      <c r="H5" s="11" t="s">
        <v>63</v>
      </c>
      <c r="I5" s="11" t="s">
        <v>164</v>
      </c>
      <c r="J5" s="11" t="s">
        <v>299</v>
      </c>
      <c r="K5" s="11" t="s">
        <v>300</v>
      </c>
      <c r="L5" s="11">
        <v>740</v>
      </c>
      <c r="M5" s="11">
        <v>0</v>
      </c>
      <c r="N5" s="11" t="s">
        <v>10</v>
      </c>
      <c r="O5" s="638"/>
      <c r="P5" s="636"/>
      <c r="Q5" s="630"/>
    </row>
    <row r="6" spans="1:17" ht="25.5" customHeight="1" x14ac:dyDescent="0.25">
      <c r="A6" s="16">
        <v>44477</v>
      </c>
      <c r="B6" s="17">
        <v>2010663479</v>
      </c>
      <c r="C6" s="17" t="s">
        <v>0</v>
      </c>
      <c r="D6" s="128">
        <v>125108.71</v>
      </c>
      <c r="E6" s="17" t="s">
        <v>36</v>
      </c>
      <c r="F6" s="17" t="s">
        <v>2</v>
      </c>
      <c r="G6" s="17" t="s">
        <v>3</v>
      </c>
      <c r="H6" s="17" t="s">
        <v>63</v>
      </c>
      <c r="I6" s="17" t="s">
        <v>164</v>
      </c>
      <c r="J6" s="17" t="s">
        <v>299</v>
      </c>
      <c r="K6" s="17" t="s">
        <v>300</v>
      </c>
      <c r="L6" s="17">
        <v>740</v>
      </c>
      <c r="M6" s="17">
        <v>29320</v>
      </c>
      <c r="N6" s="17" t="s">
        <v>8</v>
      </c>
      <c r="O6" s="644">
        <v>38408.373970000001</v>
      </c>
      <c r="P6" s="643">
        <f>O6/D6*100</f>
        <v>30.7</v>
      </c>
      <c r="Q6" s="628">
        <f>D6/(L6+L7)</f>
        <v>84.532912162162162</v>
      </c>
    </row>
    <row r="7" spans="1:17" ht="25.5" customHeight="1" x14ac:dyDescent="0.25">
      <c r="A7" s="16">
        <v>44481</v>
      </c>
      <c r="B7" s="17">
        <v>2816806</v>
      </c>
      <c r="C7" s="17" t="s">
        <v>9</v>
      </c>
      <c r="D7" s="128">
        <v>0</v>
      </c>
      <c r="E7" s="17"/>
      <c r="F7" s="17" t="s">
        <v>3</v>
      </c>
      <c r="G7" s="17" t="s">
        <v>2</v>
      </c>
      <c r="H7" s="17" t="s">
        <v>63</v>
      </c>
      <c r="I7" s="17" t="s">
        <v>164</v>
      </c>
      <c r="J7" s="17" t="s">
        <v>299</v>
      </c>
      <c r="K7" s="17" t="s">
        <v>300</v>
      </c>
      <c r="L7" s="17">
        <v>740</v>
      </c>
      <c r="M7" s="17">
        <v>0</v>
      </c>
      <c r="N7" s="17" t="s">
        <v>10</v>
      </c>
      <c r="O7" s="645"/>
      <c r="P7" s="643"/>
      <c r="Q7" s="628"/>
    </row>
    <row r="8" spans="1:17" ht="25.5" customHeight="1" x14ac:dyDescent="0.25">
      <c r="A8" s="12">
        <v>44484</v>
      </c>
      <c r="B8" s="13">
        <v>2010662491</v>
      </c>
      <c r="C8" s="13" t="s">
        <v>0</v>
      </c>
      <c r="D8" s="127">
        <v>65590.13</v>
      </c>
      <c r="E8" s="13" t="s">
        <v>39</v>
      </c>
      <c r="F8" s="13" t="s">
        <v>2</v>
      </c>
      <c r="G8" s="13" t="s">
        <v>275</v>
      </c>
      <c r="H8" s="13" t="s">
        <v>63</v>
      </c>
      <c r="I8" s="13" t="s">
        <v>164</v>
      </c>
      <c r="J8" s="13" t="s">
        <v>299</v>
      </c>
      <c r="K8" s="13" t="s">
        <v>300</v>
      </c>
      <c r="L8" s="13">
        <v>368</v>
      </c>
      <c r="M8" s="13">
        <v>28590</v>
      </c>
      <c r="N8" s="13" t="s">
        <v>38</v>
      </c>
      <c r="O8" s="640">
        <v>20136.169910000001</v>
      </c>
      <c r="P8" s="639">
        <f>O8/D8*100</f>
        <v>30.7</v>
      </c>
      <c r="Q8" s="634">
        <f>D8/(L8+L9)</f>
        <v>89.117024456521747</v>
      </c>
    </row>
    <row r="9" spans="1:17" ht="25.5" customHeight="1" x14ac:dyDescent="0.25">
      <c r="A9" s="12">
        <v>44485</v>
      </c>
      <c r="B9" s="13">
        <v>2816775</v>
      </c>
      <c r="C9" s="13" t="s">
        <v>9</v>
      </c>
      <c r="D9" s="127">
        <v>0</v>
      </c>
      <c r="E9" s="13"/>
      <c r="F9" s="13" t="s">
        <v>275</v>
      </c>
      <c r="G9" s="13" t="s">
        <v>2</v>
      </c>
      <c r="H9" s="13" t="s">
        <v>63</v>
      </c>
      <c r="I9" s="13" t="s">
        <v>164</v>
      </c>
      <c r="J9" s="13" t="s">
        <v>299</v>
      </c>
      <c r="K9" s="13" t="s">
        <v>300</v>
      </c>
      <c r="L9" s="13">
        <v>368</v>
      </c>
      <c r="M9" s="13">
        <v>0</v>
      </c>
      <c r="N9" s="13" t="s">
        <v>10</v>
      </c>
      <c r="O9" s="642"/>
      <c r="P9" s="639"/>
      <c r="Q9" s="634"/>
    </row>
    <row r="10" spans="1:17" ht="25.5" customHeight="1" x14ac:dyDescent="0.25">
      <c r="A10" s="14">
        <v>44487</v>
      </c>
      <c r="B10" s="15">
        <v>2010694588</v>
      </c>
      <c r="C10" s="15" t="s">
        <v>0</v>
      </c>
      <c r="D10" s="129">
        <v>125108.71</v>
      </c>
      <c r="E10" s="15" t="s">
        <v>41</v>
      </c>
      <c r="F10" s="15" t="s">
        <v>2</v>
      </c>
      <c r="G10" s="15" t="s">
        <v>3</v>
      </c>
      <c r="H10" s="15" t="s">
        <v>63</v>
      </c>
      <c r="I10" s="15" t="s">
        <v>164</v>
      </c>
      <c r="J10" s="15" t="s">
        <v>299</v>
      </c>
      <c r="K10" s="15" t="s">
        <v>300</v>
      </c>
      <c r="L10" s="15">
        <v>740</v>
      </c>
      <c r="M10" s="15">
        <v>29440</v>
      </c>
      <c r="N10" s="15" t="s">
        <v>8</v>
      </c>
      <c r="O10" s="647">
        <v>38408.373970000001</v>
      </c>
      <c r="P10" s="646">
        <f>O10/D10*100</f>
        <v>30.7</v>
      </c>
      <c r="Q10" s="632">
        <f>D10/(L10+L11)</f>
        <v>84.532912162162162</v>
      </c>
    </row>
    <row r="11" spans="1:17" ht="25.5" customHeight="1" x14ac:dyDescent="0.25">
      <c r="A11" s="14">
        <v>44488</v>
      </c>
      <c r="B11" s="15">
        <v>2816759</v>
      </c>
      <c r="C11" s="15" t="s">
        <v>9</v>
      </c>
      <c r="D11" s="129">
        <v>0</v>
      </c>
      <c r="E11" s="15"/>
      <c r="F11" s="15" t="s">
        <v>3</v>
      </c>
      <c r="G11" s="15" t="s">
        <v>2</v>
      </c>
      <c r="H11" s="15" t="s">
        <v>63</v>
      </c>
      <c r="I11" s="15" t="s">
        <v>164</v>
      </c>
      <c r="J11" s="15" t="s">
        <v>299</v>
      </c>
      <c r="K11" s="15" t="s">
        <v>300</v>
      </c>
      <c r="L11" s="15">
        <v>740</v>
      </c>
      <c r="M11" s="15">
        <v>0</v>
      </c>
      <c r="N11" s="15" t="s">
        <v>10</v>
      </c>
      <c r="O11" s="648"/>
      <c r="P11" s="646"/>
      <c r="Q11" s="632"/>
    </row>
    <row r="12" spans="1:17" ht="25.5" customHeight="1" x14ac:dyDescent="0.25">
      <c r="A12" s="10">
        <v>44489</v>
      </c>
      <c r="B12" s="11">
        <v>2010691489</v>
      </c>
      <c r="C12" s="11" t="s">
        <v>0</v>
      </c>
      <c r="D12" s="125">
        <v>125108.71</v>
      </c>
      <c r="E12" s="11" t="s">
        <v>60</v>
      </c>
      <c r="F12" s="11" t="s">
        <v>2</v>
      </c>
      <c r="G12" s="11" t="s">
        <v>139</v>
      </c>
      <c r="H12" s="11" t="s">
        <v>63</v>
      </c>
      <c r="I12" s="11" t="s">
        <v>164</v>
      </c>
      <c r="J12" s="11" t="s">
        <v>299</v>
      </c>
      <c r="K12" s="11" t="s">
        <v>300</v>
      </c>
      <c r="L12" s="11">
        <v>740</v>
      </c>
      <c r="M12" s="11">
        <v>29430</v>
      </c>
      <c r="N12" s="11" t="s">
        <v>38</v>
      </c>
      <c r="O12" s="637">
        <v>38408.373970000001</v>
      </c>
      <c r="P12" s="636">
        <f>O12/D12*100</f>
        <v>30.7</v>
      </c>
      <c r="Q12" s="630">
        <f>D12/(L12+L13)</f>
        <v>84.532912162162162</v>
      </c>
    </row>
    <row r="13" spans="1:17" ht="25.5" customHeight="1" x14ac:dyDescent="0.25">
      <c r="A13" s="10">
        <v>44491</v>
      </c>
      <c r="B13" s="11">
        <v>2816739</v>
      </c>
      <c r="C13" s="11" t="s">
        <v>9</v>
      </c>
      <c r="D13" s="125">
        <v>0</v>
      </c>
      <c r="E13" s="11"/>
      <c r="F13" s="11" t="s">
        <v>139</v>
      </c>
      <c r="G13" s="11" t="s">
        <v>2</v>
      </c>
      <c r="H13" s="11" t="s">
        <v>63</v>
      </c>
      <c r="I13" s="11" t="s">
        <v>164</v>
      </c>
      <c r="J13" s="11" t="s">
        <v>299</v>
      </c>
      <c r="K13" s="11" t="s">
        <v>300</v>
      </c>
      <c r="L13" s="11">
        <v>740</v>
      </c>
      <c r="M13" s="11">
        <v>0</v>
      </c>
      <c r="N13" s="11" t="s">
        <v>10</v>
      </c>
      <c r="O13" s="638"/>
      <c r="P13" s="636"/>
      <c r="Q13" s="630"/>
    </row>
    <row r="14" spans="1:17" ht="25.5" customHeight="1" x14ac:dyDescent="0.25">
      <c r="A14" s="16">
        <v>44494</v>
      </c>
      <c r="B14" s="17">
        <v>2010715566</v>
      </c>
      <c r="C14" s="17" t="s">
        <v>0</v>
      </c>
      <c r="D14" s="128">
        <v>125108.71</v>
      </c>
      <c r="E14" s="17" t="s">
        <v>1</v>
      </c>
      <c r="F14" s="17" t="s">
        <v>2</v>
      </c>
      <c r="G14" s="17" t="s">
        <v>3</v>
      </c>
      <c r="H14" s="17" t="s">
        <v>63</v>
      </c>
      <c r="I14" s="17" t="s">
        <v>164</v>
      </c>
      <c r="J14" s="17" t="s">
        <v>299</v>
      </c>
      <c r="K14" s="17" t="s">
        <v>300</v>
      </c>
      <c r="L14" s="17">
        <v>740</v>
      </c>
      <c r="M14" s="17">
        <v>29360</v>
      </c>
      <c r="N14" s="17" t="s">
        <v>8</v>
      </c>
      <c r="O14" s="644">
        <v>38408.373970000001</v>
      </c>
      <c r="P14" s="643">
        <f>O14/D14*100</f>
        <v>30.7</v>
      </c>
      <c r="Q14" s="628">
        <f>D14/(L14+L15)</f>
        <v>84.532912162162162</v>
      </c>
    </row>
    <row r="15" spans="1:17" ht="25.5" customHeight="1" x14ac:dyDescent="0.25">
      <c r="A15" s="16">
        <v>44495</v>
      </c>
      <c r="B15" s="17">
        <v>2816721</v>
      </c>
      <c r="C15" s="17" t="s">
        <v>9</v>
      </c>
      <c r="D15" s="128">
        <v>0</v>
      </c>
      <c r="E15" s="17"/>
      <c r="F15" s="17" t="s">
        <v>3</v>
      </c>
      <c r="G15" s="17" t="s">
        <v>2</v>
      </c>
      <c r="H15" s="17" t="s">
        <v>63</v>
      </c>
      <c r="I15" s="17" t="s">
        <v>164</v>
      </c>
      <c r="J15" s="17" t="s">
        <v>299</v>
      </c>
      <c r="K15" s="17" t="s">
        <v>300</v>
      </c>
      <c r="L15" s="17">
        <v>740</v>
      </c>
      <c r="M15" s="17">
        <v>0</v>
      </c>
      <c r="N15" s="17" t="s">
        <v>10</v>
      </c>
      <c r="O15" s="645"/>
      <c r="P15" s="643"/>
      <c r="Q15" s="628"/>
    </row>
    <row r="16" spans="1:17" ht="25.5" customHeight="1" x14ac:dyDescent="0.25">
      <c r="A16" s="12">
        <v>44497</v>
      </c>
      <c r="B16" s="13">
        <v>2010722200</v>
      </c>
      <c r="C16" s="13" t="s">
        <v>0</v>
      </c>
      <c r="D16" s="127">
        <v>125108.71</v>
      </c>
      <c r="E16" s="13" t="s">
        <v>44</v>
      </c>
      <c r="F16" s="13" t="s">
        <v>2</v>
      </c>
      <c r="G16" s="13" t="s">
        <v>35</v>
      </c>
      <c r="H16" s="13" t="s">
        <v>63</v>
      </c>
      <c r="I16" s="13" t="s">
        <v>164</v>
      </c>
      <c r="J16" s="13" t="s">
        <v>299</v>
      </c>
      <c r="K16" s="13" t="s">
        <v>300</v>
      </c>
      <c r="L16" s="13">
        <v>740</v>
      </c>
      <c r="M16" s="13">
        <v>28770</v>
      </c>
      <c r="N16" s="13" t="s">
        <v>8</v>
      </c>
      <c r="O16" s="640">
        <v>38408.373970000001</v>
      </c>
      <c r="P16" s="639">
        <f>O16/D16*100</f>
        <v>30.7</v>
      </c>
      <c r="Q16" s="634">
        <f>D16/(L16+L17)</f>
        <v>84.532912162162162</v>
      </c>
    </row>
    <row r="17" spans="1:17" ht="25.5" customHeight="1" x14ac:dyDescent="0.25">
      <c r="A17" s="79">
        <v>44499</v>
      </c>
      <c r="B17" s="80">
        <v>2816698</v>
      </c>
      <c r="C17" s="80" t="s">
        <v>9</v>
      </c>
      <c r="D17" s="130">
        <v>0</v>
      </c>
      <c r="E17" s="80"/>
      <c r="F17" s="80" t="s">
        <v>35</v>
      </c>
      <c r="G17" s="80" t="s">
        <v>2</v>
      </c>
      <c r="H17" s="80" t="s">
        <v>63</v>
      </c>
      <c r="I17" s="80" t="s">
        <v>164</v>
      </c>
      <c r="J17" s="80" t="s">
        <v>299</v>
      </c>
      <c r="K17" s="80" t="s">
        <v>300</v>
      </c>
      <c r="L17" s="80">
        <v>740</v>
      </c>
      <c r="M17" s="80">
        <v>0</v>
      </c>
      <c r="N17" s="80" t="s">
        <v>10</v>
      </c>
      <c r="O17" s="642"/>
      <c r="P17" s="639"/>
      <c r="Q17" s="634"/>
    </row>
    <row r="18" spans="1:17" x14ac:dyDescent="0.25">
      <c r="A18" s="9"/>
      <c r="B18" s="9"/>
      <c r="C18" s="9"/>
      <c r="D18" s="18">
        <f>SUM(D4:D17)</f>
        <v>816242.39</v>
      </c>
      <c r="E18" s="9"/>
      <c r="F18" s="9"/>
      <c r="G18" s="9"/>
      <c r="H18" s="9"/>
      <c r="I18" s="9"/>
      <c r="J18" s="9"/>
      <c r="K18" s="9"/>
      <c r="L18" s="9">
        <f>SUM(L4:L17)</f>
        <v>9616</v>
      </c>
      <c r="M18" s="9"/>
      <c r="N18" s="9"/>
      <c r="O18" s="24">
        <f>SUM(O4:O17)</f>
        <v>250586.41373000003</v>
      </c>
      <c r="P18" s="28">
        <f>O18/D18*100</f>
        <v>30.700000000000006</v>
      </c>
      <c r="Q18" s="26">
        <f>D18/L18</f>
        <v>84.883775998336105</v>
      </c>
    </row>
    <row r="20" spans="1:17" x14ac:dyDescent="0.25">
      <c r="A20" s="99" t="s">
        <v>322</v>
      </c>
      <c r="B20" s="100" t="s">
        <v>328</v>
      </c>
      <c r="C20" s="101"/>
      <c r="D20" s="102"/>
    </row>
    <row r="21" spans="1:17" x14ac:dyDescent="0.25">
      <c r="A21" s="103">
        <f>D18/L18</f>
        <v>84.883775998336105</v>
      </c>
      <c r="B21" s="9"/>
      <c r="C21" s="104"/>
      <c r="D21" s="105"/>
    </row>
    <row r="22" spans="1:17" x14ac:dyDescent="0.25">
      <c r="D22" s="25"/>
    </row>
    <row r="23" spans="1:17" x14ac:dyDescent="0.25">
      <c r="A23" s="36"/>
      <c r="B23" s="36" t="s">
        <v>329</v>
      </c>
      <c r="C23" s="36" t="s">
        <v>330</v>
      </c>
      <c r="D23" s="106" t="s">
        <v>300</v>
      </c>
    </row>
    <row r="24" spans="1:17" x14ac:dyDescent="0.25">
      <c r="A24" s="7" t="s">
        <v>331</v>
      </c>
      <c r="B24" s="42">
        <f>D18</f>
        <v>816242.39</v>
      </c>
      <c r="C24" s="45">
        <f>B25</f>
        <v>250586.41373000003</v>
      </c>
      <c r="D24" s="46">
        <f>C24/B24</f>
        <v>0.30700000000000005</v>
      </c>
    </row>
    <row r="25" spans="1:17" x14ac:dyDescent="0.25">
      <c r="A25" s="47" t="s">
        <v>27</v>
      </c>
      <c r="B25" s="24">
        <f>O18</f>
        <v>250586.41373000003</v>
      </c>
      <c r="C25" s="9"/>
      <c r="D25" s="25"/>
    </row>
    <row r="26" spans="1:17" x14ac:dyDescent="0.25">
      <c r="A26" s="48" t="s">
        <v>332</v>
      </c>
      <c r="B26" s="107"/>
      <c r="C26" s="49">
        <f>(12*(78578.313+12454.55))/(150000+80000)*L18</f>
        <v>45671.583162156523</v>
      </c>
      <c r="D26" s="25"/>
    </row>
    <row r="27" spans="1:17" x14ac:dyDescent="0.25">
      <c r="A27" s="48" t="s">
        <v>335</v>
      </c>
      <c r="B27" s="107"/>
      <c r="C27" s="42">
        <f>'PATENTE PROVINCIAL'!N72</f>
        <v>1183.5</v>
      </c>
      <c r="D27" s="25"/>
    </row>
    <row r="28" spans="1:17" x14ac:dyDescent="0.25">
      <c r="A28" s="48" t="s">
        <v>336</v>
      </c>
      <c r="B28" s="107"/>
      <c r="C28" s="42">
        <f>'PATENTE MUNICIPAL'!I79</f>
        <v>1655.8966666666665</v>
      </c>
      <c r="D28" s="25"/>
    </row>
    <row r="29" spans="1:17" x14ac:dyDescent="0.25">
      <c r="A29" s="48" t="s">
        <v>337</v>
      </c>
      <c r="B29" s="107"/>
      <c r="C29" s="42">
        <f>SEGURO!K83</f>
        <v>261.09831688804553</v>
      </c>
      <c r="D29" s="25"/>
    </row>
    <row r="30" spans="1:17" x14ac:dyDescent="0.25">
      <c r="A30" s="48" t="s">
        <v>339</v>
      </c>
      <c r="B30" s="107"/>
      <c r="C30" s="42">
        <f>'GASTOS SEMI'!H202</f>
        <v>1600</v>
      </c>
      <c r="D30" s="25"/>
    </row>
    <row r="31" spans="1:17" x14ac:dyDescent="0.25">
      <c r="A31" s="48" t="s">
        <v>340</v>
      </c>
      <c r="B31" s="107"/>
      <c r="C31" s="51">
        <f>SUM(C26:C30)</f>
        <v>50372.078145711239</v>
      </c>
      <c r="D31" s="25"/>
    </row>
    <row r="32" spans="1:17" x14ac:dyDescent="0.25">
      <c r="A32" s="36" t="s">
        <v>341</v>
      </c>
      <c r="B32" s="107"/>
      <c r="C32" s="53">
        <f>C24-C25-C31</f>
        <v>200214.33558428878</v>
      </c>
      <c r="D32" s="106">
        <f>+B32+C32</f>
        <v>200214.33558428878</v>
      </c>
    </row>
  </sheetData>
  <sortState xmlns:xlrd2="http://schemas.microsoft.com/office/spreadsheetml/2017/richdata2" ref="A2:P16">
    <sortCondition ref="A1"/>
  </sortState>
  <mergeCells count="22">
    <mergeCell ref="O6:O7"/>
    <mergeCell ref="P12:P13"/>
    <mergeCell ref="O12:O13"/>
    <mergeCell ref="Q10:Q11"/>
    <mergeCell ref="P10:P11"/>
    <mergeCell ref="O10:O11"/>
    <mergeCell ref="A1:Q2"/>
    <mergeCell ref="Q4:Q5"/>
    <mergeCell ref="P4:P5"/>
    <mergeCell ref="O4:O5"/>
    <mergeCell ref="Q16:Q17"/>
    <mergeCell ref="P16:P17"/>
    <mergeCell ref="O16:O17"/>
    <mergeCell ref="Q14:Q15"/>
    <mergeCell ref="P14:P15"/>
    <mergeCell ref="O14:O15"/>
    <mergeCell ref="Q12:Q13"/>
    <mergeCell ref="Q8:Q9"/>
    <mergeCell ref="P8:P9"/>
    <mergeCell ref="O8:O9"/>
    <mergeCell ref="Q6:Q7"/>
    <mergeCell ref="P6:P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B050"/>
  </sheetPr>
  <dimension ref="A1:Q26"/>
  <sheetViews>
    <sheetView topLeftCell="F1" zoomScaleNormal="100" workbookViewId="0">
      <selection activeCell="C25" sqref="C25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33.5703125" style="2" bestFit="1" customWidth="1"/>
    <col min="8" max="8" width="9" style="2" bestFit="1" customWidth="1"/>
    <col min="9" max="9" width="23" style="2" bestFit="1" customWidth="1"/>
    <col min="10" max="10" width="8.71093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7" t="s">
        <v>379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44485</v>
      </c>
      <c r="B4" s="11">
        <v>2010690410</v>
      </c>
      <c r="C4" s="11" t="s">
        <v>0</v>
      </c>
      <c r="D4" s="125">
        <v>125108.71</v>
      </c>
      <c r="E4" s="11" t="s">
        <v>41</v>
      </c>
      <c r="F4" s="11" t="s">
        <v>2</v>
      </c>
      <c r="G4" s="11" t="s">
        <v>3</v>
      </c>
      <c r="H4" s="11" t="s">
        <v>63</v>
      </c>
      <c r="I4" s="11" t="s">
        <v>64</v>
      </c>
      <c r="J4" s="11" t="s">
        <v>65</v>
      </c>
      <c r="K4" s="11" t="s">
        <v>66</v>
      </c>
      <c r="L4" s="11">
        <v>740</v>
      </c>
      <c r="M4" s="11">
        <v>28860</v>
      </c>
      <c r="N4" s="11" t="s">
        <v>8</v>
      </c>
      <c r="O4" s="637">
        <v>38408.373970000001</v>
      </c>
      <c r="P4" s="636">
        <f>O4/D4*100</f>
        <v>30.7</v>
      </c>
      <c r="Q4" s="630">
        <f>D4/(L4+L5)</f>
        <v>84.532912162162162</v>
      </c>
    </row>
    <row r="5" spans="1:17" ht="25.5" customHeight="1" x14ac:dyDescent="0.25">
      <c r="A5" s="10">
        <v>44487</v>
      </c>
      <c r="B5" s="11">
        <v>2816781</v>
      </c>
      <c r="C5" s="11" t="s">
        <v>9</v>
      </c>
      <c r="D5" s="125">
        <v>0</v>
      </c>
      <c r="E5" s="11"/>
      <c r="F5" s="11" t="s">
        <v>3</v>
      </c>
      <c r="G5" s="11" t="s">
        <v>2</v>
      </c>
      <c r="H5" s="11" t="s">
        <v>63</v>
      </c>
      <c r="I5" s="11" t="s">
        <v>64</v>
      </c>
      <c r="J5" s="11" t="s">
        <v>65</v>
      </c>
      <c r="K5" s="11" t="s">
        <v>66</v>
      </c>
      <c r="L5" s="11">
        <v>740</v>
      </c>
      <c r="M5" s="11">
        <v>0</v>
      </c>
      <c r="N5" s="11" t="s">
        <v>10</v>
      </c>
      <c r="O5" s="638"/>
      <c r="P5" s="636"/>
      <c r="Q5" s="630"/>
    </row>
    <row r="6" spans="1:17" ht="25.5" customHeight="1" x14ac:dyDescent="0.25">
      <c r="A6" s="16">
        <v>44488</v>
      </c>
      <c r="B6" s="17">
        <v>2010694711</v>
      </c>
      <c r="C6" s="17" t="s">
        <v>0</v>
      </c>
      <c r="D6" s="128">
        <v>63987.32</v>
      </c>
      <c r="E6" s="17" t="s">
        <v>60</v>
      </c>
      <c r="F6" s="17" t="s">
        <v>2</v>
      </c>
      <c r="G6" s="17" t="s">
        <v>67</v>
      </c>
      <c r="H6" s="17" t="s">
        <v>63</v>
      </c>
      <c r="I6" s="17" t="s">
        <v>64</v>
      </c>
      <c r="J6" s="17" t="s">
        <v>65</v>
      </c>
      <c r="K6" s="17" t="s">
        <v>66</v>
      </c>
      <c r="L6" s="17">
        <v>359</v>
      </c>
      <c r="M6" s="17">
        <v>28850</v>
      </c>
      <c r="N6" s="17" t="s">
        <v>38</v>
      </c>
      <c r="O6" s="644">
        <v>19644.107240000001</v>
      </c>
      <c r="P6" s="643">
        <f>O6/D6*100</f>
        <v>30.7</v>
      </c>
      <c r="Q6" s="628">
        <f>D6/(L6+L7)</f>
        <v>89.118830083565456</v>
      </c>
    </row>
    <row r="7" spans="1:17" ht="25.5" customHeight="1" x14ac:dyDescent="0.25">
      <c r="A7" s="16">
        <v>44489</v>
      </c>
      <c r="B7" s="17">
        <v>2816755</v>
      </c>
      <c r="C7" s="17" t="s">
        <v>9</v>
      </c>
      <c r="D7" s="128">
        <v>0</v>
      </c>
      <c r="E7" s="17"/>
      <c r="F7" s="17" t="s">
        <v>67</v>
      </c>
      <c r="G7" s="17" t="s">
        <v>2</v>
      </c>
      <c r="H7" s="17" t="s">
        <v>63</v>
      </c>
      <c r="I7" s="17" t="s">
        <v>64</v>
      </c>
      <c r="J7" s="17" t="s">
        <v>65</v>
      </c>
      <c r="K7" s="17" t="s">
        <v>66</v>
      </c>
      <c r="L7" s="17">
        <v>359</v>
      </c>
      <c r="M7" s="17">
        <v>0</v>
      </c>
      <c r="N7" s="17" t="s">
        <v>10</v>
      </c>
      <c r="O7" s="645"/>
      <c r="P7" s="643"/>
      <c r="Q7" s="628"/>
    </row>
    <row r="8" spans="1:17" ht="25.5" customHeight="1" x14ac:dyDescent="0.25">
      <c r="A8" s="12">
        <v>44491</v>
      </c>
      <c r="B8" s="13">
        <v>2010715559</v>
      </c>
      <c r="C8" s="13" t="s">
        <v>0</v>
      </c>
      <c r="D8" s="127">
        <v>125108.71</v>
      </c>
      <c r="E8" s="13" t="s">
        <v>1</v>
      </c>
      <c r="F8" s="13" t="s">
        <v>2</v>
      </c>
      <c r="G8" s="13" t="s">
        <v>3</v>
      </c>
      <c r="H8" s="13" t="s">
        <v>63</v>
      </c>
      <c r="I8" s="13" t="s">
        <v>64</v>
      </c>
      <c r="J8" s="13" t="s">
        <v>65</v>
      </c>
      <c r="K8" s="13" t="s">
        <v>66</v>
      </c>
      <c r="L8" s="13">
        <v>740</v>
      </c>
      <c r="M8" s="13">
        <v>28630</v>
      </c>
      <c r="N8" s="13" t="s">
        <v>8</v>
      </c>
      <c r="O8" s="640">
        <v>38408.373970000001</v>
      </c>
      <c r="P8" s="639">
        <f>O8/D8*100</f>
        <v>30.7</v>
      </c>
      <c r="Q8" s="634">
        <f>D8/(L8+L9)</f>
        <v>84.532912162162162</v>
      </c>
    </row>
    <row r="9" spans="1:17" ht="25.5" customHeight="1" x14ac:dyDescent="0.25">
      <c r="A9" s="12">
        <v>44493</v>
      </c>
      <c r="B9" s="13">
        <v>2816730</v>
      </c>
      <c r="C9" s="13" t="s">
        <v>9</v>
      </c>
      <c r="D9" s="127">
        <v>0</v>
      </c>
      <c r="E9" s="13"/>
      <c r="F9" s="13" t="s">
        <v>3</v>
      </c>
      <c r="G9" s="13" t="s">
        <v>2</v>
      </c>
      <c r="H9" s="13" t="s">
        <v>63</v>
      </c>
      <c r="I9" s="13" t="s">
        <v>64</v>
      </c>
      <c r="J9" s="13" t="s">
        <v>65</v>
      </c>
      <c r="K9" s="13" t="s">
        <v>66</v>
      </c>
      <c r="L9" s="13">
        <v>740</v>
      </c>
      <c r="M9" s="13">
        <v>0</v>
      </c>
      <c r="N9" s="13" t="s">
        <v>10</v>
      </c>
      <c r="O9" s="642"/>
      <c r="P9" s="639"/>
      <c r="Q9" s="634"/>
    </row>
    <row r="10" spans="1:17" ht="25.5" customHeight="1" x14ac:dyDescent="0.25">
      <c r="A10" s="14">
        <v>44495</v>
      </c>
      <c r="B10" s="15">
        <v>2010715471</v>
      </c>
      <c r="C10" s="15" t="s">
        <v>0</v>
      </c>
      <c r="D10" s="129">
        <v>125108.71</v>
      </c>
      <c r="E10" s="15" t="s">
        <v>1</v>
      </c>
      <c r="F10" s="15" t="s">
        <v>2</v>
      </c>
      <c r="G10" s="15" t="s">
        <v>3</v>
      </c>
      <c r="H10" s="15" t="s">
        <v>63</v>
      </c>
      <c r="I10" s="15" t="s">
        <v>64</v>
      </c>
      <c r="J10" s="15" t="s">
        <v>65</v>
      </c>
      <c r="K10" s="15" t="s">
        <v>66</v>
      </c>
      <c r="L10" s="15">
        <v>741</v>
      </c>
      <c r="M10" s="15">
        <v>28990</v>
      </c>
      <c r="N10" s="15" t="s">
        <v>8</v>
      </c>
      <c r="O10" s="647">
        <v>38408.373970000001</v>
      </c>
      <c r="P10" s="646">
        <f>O10/D10*100</f>
        <v>30.7</v>
      </c>
      <c r="Q10" s="632">
        <f>D10/(L10+L11)</f>
        <v>84.475833896016212</v>
      </c>
    </row>
    <row r="11" spans="1:17" ht="25.5" customHeight="1" x14ac:dyDescent="0.25">
      <c r="A11" s="85">
        <v>44496</v>
      </c>
      <c r="B11" s="86">
        <v>2816716</v>
      </c>
      <c r="C11" s="86" t="s">
        <v>9</v>
      </c>
      <c r="D11" s="133">
        <v>0</v>
      </c>
      <c r="E11" s="86"/>
      <c r="F11" s="86" t="s">
        <v>3</v>
      </c>
      <c r="G11" s="86" t="s">
        <v>2</v>
      </c>
      <c r="H11" s="86" t="s">
        <v>63</v>
      </c>
      <c r="I11" s="86" t="s">
        <v>64</v>
      </c>
      <c r="J11" s="86" t="s">
        <v>65</v>
      </c>
      <c r="K11" s="86" t="s">
        <v>66</v>
      </c>
      <c r="L11" s="86">
        <v>740</v>
      </c>
      <c r="M11" s="86">
        <v>0</v>
      </c>
      <c r="N11" s="86" t="s">
        <v>10</v>
      </c>
      <c r="O11" s="648"/>
      <c r="P11" s="646"/>
      <c r="Q11" s="632"/>
    </row>
    <row r="12" spans="1:17" x14ac:dyDescent="0.25">
      <c r="A12" s="9"/>
      <c r="B12" s="9"/>
      <c r="C12" s="9"/>
      <c r="D12" s="18">
        <f>SUM(D4:D11)</f>
        <v>439313.45</v>
      </c>
      <c r="E12" s="9"/>
      <c r="F12" s="9"/>
      <c r="G12" s="9"/>
      <c r="H12" s="9"/>
      <c r="I12" s="9"/>
      <c r="J12" s="9"/>
      <c r="K12" s="9"/>
      <c r="L12" s="9">
        <f>SUM(L4:L11)</f>
        <v>5159</v>
      </c>
      <c r="M12" s="9"/>
      <c r="N12" s="9"/>
      <c r="O12" s="24">
        <f>SUM(O4:O11)</f>
        <v>134869.22915</v>
      </c>
      <c r="P12" s="28">
        <f>O12/D12*100</f>
        <v>30.7</v>
      </c>
      <c r="Q12" s="26">
        <f>D12/L12</f>
        <v>85.154768365962397</v>
      </c>
    </row>
    <row r="14" spans="1:17" x14ac:dyDescent="0.25">
      <c r="A14" s="99" t="s">
        <v>322</v>
      </c>
      <c r="B14" s="100" t="s">
        <v>328</v>
      </c>
      <c r="C14" s="101"/>
      <c r="D14" s="102"/>
    </row>
    <row r="15" spans="1:17" x14ac:dyDescent="0.25">
      <c r="A15" s="103">
        <f>D12/L12</f>
        <v>85.154768365962397</v>
      </c>
      <c r="B15" s="9"/>
      <c r="C15" s="104"/>
      <c r="D15" s="105"/>
    </row>
    <row r="16" spans="1:17" x14ac:dyDescent="0.25">
      <c r="D16" s="25"/>
    </row>
    <row r="17" spans="1:4" x14ac:dyDescent="0.25">
      <c r="A17" s="36"/>
      <c r="B17" s="36" t="s">
        <v>329</v>
      </c>
      <c r="C17" s="36" t="s">
        <v>330</v>
      </c>
      <c r="D17" s="106" t="s">
        <v>66</v>
      </c>
    </row>
    <row r="18" spans="1:4" x14ac:dyDescent="0.25">
      <c r="A18" s="7" t="s">
        <v>331</v>
      </c>
      <c r="B18" s="42">
        <f>D12</f>
        <v>439313.45</v>
      </c>
      <c r="C18" s="45">
        <f>B19</f>
        <v>134869.22915</v>
      </c>
      <c r="D18" s="46">
        <f>C18/B18</f>
        <v>0.307</v>
      </c>
    </row>
    <row r="19" spans="1:4" x14ac:dyDescent="0.25">
      <c r="A19" s="47" t="s">
        <v>27</v>
      </c>
      <c r="B19" s="24">
        <f>O12</f>
        <v>134869.22915</v>
      </c>
      <c r="C19" s="9"/>
      <c r="D19" s="25"/>
    </row>
    <row r="20" spans="1:4" x14ac:dyDescent="0.25">
      <c r="A20" s="48" t="s">
        <v>332</v>
      </c>
      <c r="B20" s="107"/>
      <c r="C20" s="49">
        <f>(12*(78578.313+12454.55))/(150000+80000)*L12</f>
        <v>24502.880359147824</v>
      </c>
      <c r="D20" s="25"/>
    </row>
    <row r="21" spans="1:4" x14ac:dyDescent="0.25">
      <c r="A21" s="48" t="s">
        <v>335</v>
      </c>
      <c r="B21" s="107"/>
      <c r="C21" s="42"/>
      <c r="D21" s="25"/>
    </row>
    <row r="22" spans="1:4" x14ac:dyDescent="0.25">
      <c r="A22" s="48" t="s">
        <v>336</v>
      </c>
      <c r="B22" s="107"/>
      <c r="C22" s="42">
        <f>'PATENTE MUNICIPAL'!I60</f>
        <v>20.833333333333332</v>
      </c>
      <c r="D22" s="25"/>
    </row>
    <row r="23" spans="1:4" x14ac:dyDescent="0.25">
      <c r="A23" s="48" t="s">
        <v>337</v>
      </c>
      <c r="B23" s="107"/>
      <c r="C23" s="42">
        <f>SEGURO!K64</f>
        <v>261.09831688804553</v>
      </c>
      <c r="D23" s="25"/>
    </row>
    <row r="24" spans="1:4" x14ac:dyDescent="0.25">
      <c r="A24" s="48" t="s">
        <v>339</v>
      </c>
      <c r="B24" s="107"/>
      <c r="C24" s="42">
        <f>'GASTOS SEMI'!H170</f>
        <v>280.56</v>
      </c>
      <c r="D24" s="25"/>
    </row>
    <row r="25" spans="1:4" x14ac:dyDescent="0.25">
      <c r="A25" s="48" t="s">
        <v>340</v>
      </c>
      <c r="B25" s="107"/>
      <c r="C25" s="51">
        <f>SUM(C20:C24)</f>
        <v>25065.372009369203</v>
      </c>
      <c r="D25" s="25"/>
    </row>
    <row r="26" spans="1:4" x14ac:dyDescent="0.25">
      <c r="A26" s="36" t="s">
        <v>341</v>
      </c>
      <c r="B26" s="107"/>
      <c r="C26" s="53">
        <f>C18-C19-C25</f>
        <v>109803.8571406308</v>
      </c>
      <c r="D26" s="106">
        <f>+B26+C26</f>
        <v>109803.8571406308</v>
      </c>
    </row>
  </sheetData>
  <sortState xmlns:xlrd2="http://schemas.microsoft.com/office/spreadsheetml/2017/richdata2" ref="A2:P10">
    <sortCondition ref="A1"/>
  </sortState>
  <mergeCells count="13">
    <mergeCell ref="A1:Q2"/>
    <mergeCell ref="Q6:Q7"/>
    <mergeCell ref="P6:P7"/>
    <mergeCell ref="O6:O7"/>
    <mergeCell ref="Q4:Q5"/>
    <mergeCell ref="P4:P5"/>
    <mergeCell ref="O4:O5"/>
    <mergeCell ref="Q10:Q11"/>
    <mergeCell ref="P10:P11"/>
    <mergeCell ref="O10:O11"/>
    <mergeCell ref="Q8:Q9"/>
    <mergeCell ref="P8:P9"/>
    <mergeCell ref="O8:O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00B050"/>
  </sheetPr>
  <dimension ref="A1:Q21"/>
  <sheetViews>
    <sheetView zoomScaleNormal="100" workbookViewId="0">
      <selection activeCell="C19" sqref="C19"/>
    </sheetView>
  </sheetViews>
  <sheetFormatPr baseColWidth="10" defaultRowHeight="15" x14ac:dyDescent="0.25"/>
  <cols>
    <col min="1" max="1" width="14.42578125" style="2" bestFit="1" customWidth="1"/>
    <col min="2" max="2" width="12.42578125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6" width="28.28515625" style="2" bestFit="1" customWidth="1"/>
    <col min="7" max="7" width="42.42578125" style="2" bestFit="1" customWidth="1"/>
    <col min="8" max="8" width="10.42578125" style="2" bestFit="1" customWidth="1"/>
    <col min="9" max="9" width="21.4257812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2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7" t="s">
        <v>382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44494</v>
      </c>
      <c r="B4" s="11">
        <v>2010715424</v>
      </c>
      <c r="C4" s="11" t="s">
        <v>0</v>
      </c>
      <c r="D4" s="125">
        <v>125108.71</v>
      </c>
      <c r="E4" s="11" t="s">
        <v>1</v>
      </c>
      <c r="F4" s="11" t="s">
        <v>2</v>
      </c>
      <c r="G4" s="11" t="s">
        <v>3</v>
      </c>
      <c r="H4" s="11" t="s">
        <v>4</v>
      </c>
      <c r="I4" s="11" t="s">
        <v>5</v>
      </c>
      <c r="J4" s="11" t="s">
        <v>6</v>
      </c>
      <c r="K4" s="11" t="s">
        <v>7</v>
      </c>
      <c r="L4" s="11">
        <v>740</v>
      </c>
      <c r="M4" s="11">
        <v>28290</v>
      </c>
      <c r="N4" s="11" t="s">
        <v>8</v>
      </c>
      <c r="O4" s="637">
        <v>38408.373970000001</v>
      </c>
      <c r="P4" s="636">
        <f>O4/D4*100</f>
        <v>30.7</v>
      </c>
      <c r="Q4" s="630">
        <f>D4/(L4+L5)</f>
        <v>84.532912162162162</v>
      </c>
    </row>
    <row r="5" spans="1:17" ht="25.5" customHeight="1" x14ac:dyDescent="0.25">
      <c r="A5" s="10">
        <v>44496</v>
      </c>
      <c r="B5" s="11">
        <v>2816717</v>
      </c>
      <c r="C5" s="11" t="s">
        <v>9</v>
      </c>
      <c r="D5" s="125">
        <v>0</v>
      </c>
      <c r="E5" s="11"/>
      <c r="F5" s="11" t="s">
        <v>3</v>
      </c>
      <c r="G5" s="11" t="s">
        <v>2</v>
      </c>
      <c r="H5" s="11" t="s">
        <v>4</v>
      </c>
      <c r="I5" s="11" t="s">
        <v>5</v>
      </c>
      <c r="J5" s="11" t="s">
        <v>6</v>
      </c>
      <c r="K5" s="11" t="s">
        <v>7</v>
      </c>
      <c r="L5" s="11">
        <v>740</v>
      </c>
      <c r="M5" s="11">
        <v>0</v>
      </c>
      <c r="N5" s="11" t="s">
        <v>10</v>
      </c>
      <c r="O5" s="638"/>
      <c r="P5" s="636"/>
      <c r="Q5" s="630"/>
    </row>
    <row r="6" spans="1:17" ht="25.5" customHeight="1" x14ac:dyDescent="0.25">
      <c r="A6" s="6">
        <v>44499</v>
      </c>
      <c r="B6" s="7">
        <v>2010721578</v>
      </c>
      <c r="C6" s="7" t="s">
        <v>0</v>
      </c>
      <c r="D6" s="8">
        <v>125108.71</v>
      </c>
      <c r="E6" s="7" t="s">
        <v>11</v>
      </c>
      <c r="F6" s="7" t="s">
        <v>2</v>
      </c>
      <c r="G6" s="7" t="s">
        <v>12</v>
      </c>
      <c r="H6" s="7" t="s">
        <v>4</v>
      </c>
      <c r="I6" s="7" t="s">
        <v>5</v>
      </c>
      <c r="J6" s="7" t="s">
        <v>6</v>
      </c>
      <c r="K6" s="7" t="s">
        <v>7</v>
      </c>
      <c r="L6" s="7">
        <v>740</v>
      </c>
      <c r="M6" s="7">
        <v>28760</v>
      </c>
      <c r="N6" s="7" t="s">
        <v>8</v>
      </c>
      <c r="O6" s="8">
        <v>38408.373970000001</v>
      </c>
      <c r="P6" s="28">
        <f>O6/D6*100</f>
        <v>30.7</v>
      </c>
      <c r="Q6" s="24">
        <f>D6/L6</f>
        <v>169.06582432432432</v>
      </c>
    </row>
    <row r="7" spans="1:17" x14ac:dyDescent="0.25">
      <c r="A7" s="9"/>
      <c r="B7" s="9"/>
      <c r="C7" s="9"/>
      <c r="D7" s="18">
        <f>SUM(D4:D6)</f>
        <v>250217.42</v>
      </c>
      <c r="E7" s="9"/>
      <c r="F7" s="9"/>
      <c r="G7" s="9"/>
      <c r="H7" s="9"/>
      <c r="I7" s="9"/>
      <c r="J7" s="9"/>
      <c r="K7" s="9"/>
      <c r="L7" s="9">
        <f>SUM(L4:L6)</f>
        <v>2220</v>
      </c>
      <c r="M7" s="9"/>
      <c r="N7" s="9"/>
      <c r="O7" s="24">
        <f>SUM(O4:O6)</f>
        <v>76816.747940000001</v>
      </c>
      <c r="P7" s="28">
        <f>O7/D7*100</f>
        <v>30.7</v>
      </c>
      <c r="Q7" s="26">
        <f>D7/L7</f>
        <v>112.71054954954955</v>
      </c>
    </row>
    <row r="9" spans="1:17" x14ac:dyDescent="0.25">
      <c r="A9" s="99" t="s">
        <v>322</v>
      </c>
      <c r="B9" s="100" t="s">
        <v>328</v>
      </c>
      <c r="C9" s="101"/>
      <c r="D9" s="102"/>
    </row>
    <row r="10" spans="1:17" x14ac:dyDescent="0.25">
      <c r="A10" s="103">
        <f>D7/L7</f>
        <v>112.71054954954955</v>
      </c>
      <c r="B10" s="9"/>
      <c r="C10" s="104"/>
      <c r="D10" s="105"/>
    </row>
    <row r="11" spans="1:17" x14ac:dyDescent="0.25">
      <c r="D11" s="25"/>
    </row>
    <row r="12" spans="1:17" x14ac:dyDescent="0.25">
      <c r="A12" s="36"/>
      <c r="B12" s="36" t="s">
        <v>329</v>
      </c>
      <c r="C12" s="36" t="s">
        <v>330</v>
      </c>
      <c r="D12" s="106" t="s">
        <v>7</v>
      </c>
    </row>
    <row r="13" spans="1:17" x14ac:dyDescent="0.25">
      <c r="A13" s="7" t="s">
        <v>331</v>
      </c>
      <c r="B13" s="42">
        <f>D7</f>
        <v>250217.42</v>
      </c>
      <c r="C13" s="45">
        <f>B14</f>
        <v>76816.747940000001</v>
      </c>
      <c r="D13" s="46">
        <f>C13/B13</f>
        <v>0.307</v>
      </c>
    </row>
    <row r="14" spans="1:17" x14ac:dyDescent="0.25">
      <c r="A14" s="47" t="s">
        <v>27</v>
      </c>
      <c r="B14" s="24">
        <f>O7</f>
        <v>76816.747940000001</v>
      </c>
      <c r="C14" s="9"/>
      <c r="D14" s="25"/>
    </row>
    <row r="15" spans="1:17" x14ac:dyDescent="0.25">
      <c r="A15" s="48" t="s">
        <v>332</v>
      </c>
      <c r="B15" s="107"/>
      <c r="C15" s="49">
        <f>(12*(78578.313+12454.55))/(150000+80000)*L7</f>
        <v>10543.980305739129</v>
      </c>
      <c r="D15" s="25"/>
    </row>
    <row r="16" spans="1:17" x14ac:dyDescent="0.25">
      <c r="A16" s="48" t="s">
        <v>335</v>
      </c>
      <c r="B16" s="107"/>
      <c r="C16" s="42"/>
      <c r="D16" s="25"/>
    </row>
    <row r="17" spans="1:4" x14ac:dyDescent="0.25">
      <c r="A17" s="48" t="s">
        <v>336</v>
      </c>
      <c r="B17" s="107"/>
      <c r="C17" s="42">
        <f>'PATENTE MUNICIPAL'!I23</f>
        <v>12.5</v>
      </c>
      <c r="D17" s="25"/>
    </row>
    <row r="18" spans="1:4" x14ac:dyDescent="0.25">
      <c r="A18" s="48" t="s">
        <v>337</v>
      </c>
      <c r="B18" s="107"/>
      <c r="C18" s="42">
        <f>SEGURO!K26</f>
        <v>261.09831688804553</v>
      </c>
      <c r="D18" s="25"/>
    </row>
    <row r="19" spans="1:4" x14ac:dyDescent="0.25">
      <c r="A19" s="48" t="s">
        <v>339</v>
      </c>
      <c r="B19" s="107"/>
      <c r="C19" s="42"/>
      <c r="D19" s="25"/>
    </row>
    <row r="20" spans="1:4" x14ac:dyDescent="0.25">
      <c r="A20" s="48" t="s">
        <v>340</v>
      </c>
      <c r="B20" s="107"/>
      <c r="C20" s="51">
        <f>SUM(C15:C19)</f>
        <v>10817.578622627174</v>
      </c>
      <c r="D20" s="25"/>
    </row>
    <row r="21" spans="1:4" x14ac:dyDescent="0.25">
      <c r="A21" s="36" t="s">
        <v>341</v>
      </c>
      <c r="B21" s="107"/>
      <c r="C21" s="53">
        <f>C13-C14-C20</f>
        <v>65999.169317372827</v>
      </c>
      <c r="D21" s="106">
        <f>+B21+C21</f>
        <v>65999.169317372827</v>
      </c>
    </row>
  </sheetData>
  <sortState xmlns:xlrd2="http://schemas.microsoft.com/office/spreadsheetml/2017/richdata2" ref="A2:P5">
    <sortCondition ref="A1"/>
  </sortState>
  <mergeCells count="4">
    <mergeCell ref="Q4:Q5"/>
    <mergeCell ref="P4:P5"/>
    <mergeCell ref="O4:O5"/>
    <mergeCell ref="A1:Q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00B050"/>
  </sheetPr>
  <dimension ref="A1:Q37"/>
  <sheetViews>
    <sheetView topLeftCell="A10" zoomScaleNormal="100" workbookViewId="0">
      <selection activeCell="C35" sqref="C35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7.85546875" style="2" bestFit="1" customWidth="1"/>
    <col min="8" max="8" width="18" style="2" bestFit="1" customWidth="1"/>
    <col min="9" max="9" width="26.85546875" style="2" bestFit="1" customWidth="1"/>
    <col min="10" max="10" width="8.71093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7" t="s">
        <v>383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2816290</v>
      </c>
      <c r="C4" s="4" t="s">
        <v>9</v>
      </c>
      <c r="D4" s="5">
        <v>0</v>
      </c>
      <c r="E4" s="4"/>
      <c r="F4" s="4" t="s">
        <v>3</v>
      </c>
      <c r="G4" s="4" t="s">
        <v>2</v>
      </c>
      <c r="H4" s="4" t="s">
        <v>82</v>
      </c>
      <c r="I4" s="4" t="s">
        <v>83</v>
      </c>
      <c r="J4" s="4" t="s">
        <v>84</v>
      </c>
      <c r="K4" s="4" t="s">
        <v>85</v>
      </c>
      <c r="L4" s="4">
        <v>740</v>
      </c>
      <c r="M4" s="4">
        <v>0</v>
      </c>
      <c r="N4" s="4" t="s">
        <v>10</v>
      </c>
      <c r="O4" s="24">
        <v>0</v>
      </c>
      <c r="P4" s="28">
        <v>0</v>
      </c>
      <c r="Q4" s="24">
        <v>0</v>
      </c>
    </row>
    <row r="5" spans="1:17" ht="25.5" customHeight="1" x14ac:dyDescent="0.25">
      <c r="A5" s="10">
        <v>44473</v>
      </c>
      <c r="B5" s="11">
        <v>2010642150</v>
      </c>
      <c r="C5" s="11" t="s">
        <v>0</v>
      </c>
      <c r="D5" s="125">
        <v>125108.71</v>
      </c>
      <c r="E5" s="11" t="s">
        <v>56</v>
      </c>
      <c r="F5" s="11" t="s">
        <v>2</v>
      </c>
      <c r="G5" s="11" t="s">
        <v>3</v>
      </c>
      <c r="H5" s="11" t="s">
        <v>82</v>
      </c>
      <c r="I5" s="11" t="s">
        <v>86</v>
      </c>
      <c r="J5" s="11" t="s">
        <v>84</v>
      </c>
      <c r="K5" s="11" t="s">
        <v>85</v>
      </c>
      <c r="L5" s="11">
        <v>740</v>
      </c>
      <c r="M5" s="11">
        <v>29110</v>
      </c>
      <c r="N5" s="11" t="s">
        <v>8</v>
      </c>
      <c r="O5" s="630">
        <v>38408.373970000001</v>
      </c>
      <c r="P5" s="636">
        <f>O5/D5*100</f>
        <v>30.7</v>
      </c>
      <c r="Q5" s="630">
        <f>D5/(L5+L6)</f>
        <v>84.532912162162162</v>
      </c>
    </row>
    <row r="6" spans="1:17" ht="25.5" customHeight="1" x14ac:dyDescent="0.25">
      <c r="A6" s="10">
        <v>44475</v>
      </c>
      <c r="B6" s="11">
        <v>2816828</v>
      </c>
      <c r="C6" s="11" t="s">
        <v>9</v>
      </c>
      <c r="D6" s="125">
        <v>0</v>
      </c>
      <c r="E6" s="11"/>
      <c r="F6" s="11" t="s">
        <v>3</v>
      </c>
      <c r="G6" s="11" t="s">
        <v>2</v>
      </c>
      <c r="H6" s="11" t="s">
        <v>82</v>
      </c>
      <c r="I6" s="11" t="s">
        <v>86</v>
      </c>
      <c r="J6" s="11" t="s">
        <v>84</v>
      </c>
      <c r="K6" s="11" t="s">
        <v>85</v>
      </c>
      <c r="L6" s="11">
        <v>740</v>
      </c>
      <c r="M6" s="11">
        <v>0</v>
      </c>
      <c r="N6" s="11" t="s">
        <v>10</v>
      </c>
      <c r="O6" s="630"/>
      <c r="P6" s="636"/>
      <c r="Q6" s="630"/>
    </row>
    <row r="7" spans="1:17" ht="25.5" customHeight="1" x14ac:dyDescent="0.25">
      <c r="A7" s="16">
        <v>44476</v>
      </c>
      <c r="B7" s="17">
        <v>2010645802</v>
      </c>
      <c r="C7" s="17" t="s">
        <v>0</v>
      </c>
      <c r="D7" s="128">
        <v>125108.71</v>
      </c>
      <c r="E7" s="17" t="s">
        <v>34</v>
      </c>
      <c r="F7" s="17" t="s">
        <v>2</v>
      </c>
      <c r="G7" s="17" t="s">
        <v>3</v>
      </c>
      <c r="H7" s="17" t="s">
        <v>82</v>
      </c>
      <c r="I7" s="17" t="s">
        <v>83</v>
      </c>
      <c r="J7" s="17" t="s">
        <v>84</v>
      </c>
      <c r="K7" s="17" t="s">
        <v>85</v>
      </c>
      <c r="L7" s="17">
        <v>740</v>
      </c>
      <c r="M7" s="17">
        <v>29140</v>
      </c>
      <c r="N7" s="17" t="s">
        <v>8</v>
      </c>
      <c r="O7" s="628">
        <v>38408.373970000001</v>
      </c>
      <c r="P7" s="643">
        <f>O7/D7*100</f>
        <v>30.7</v>
      </c>
      <c r="Q7" s="628">
        <f>D7/(L7+L8)</f>
        <v>84.532912162162162</v>
      </c>
    </row>
    <row r="8" spans="1:17" ht="25.5" customHeight="1" x14ac:dyDescent="0.25">
      <c r="A8" s="16">
        <v>44477</v>
      </c>
      <c r="B8" s="17">
        <v>2816811</v>
      </c>
      <c r="C8" s="17" t="s">
        <v>9</v>
      </c>
      <c r="D8" s="128">
        <v>0</v>
      </c>
      <c r="E8" s="17"/>
      <c r="F8" s="17" t="s">
        <v>3</v>
      </c>
      <c r="G8" s="17" t="s">
        <v>2</v>
      </c>
      <c r="H8" s="17" t="s">
        <v>82</v>
      </c>
      <c r="I8" s="17" t="s">
        <v>83</v>
      </c>
      <c r="J8" s="17" t="s">
        <v>84</v>
      </c>
      <c r="K8" s="17" t="s">
        <v>85</v>
      </c>
      <c r="L8" s="17">
        <v>740</v>
      </c>
      <c r="M8" s="17">
        <v>0</v>
      </c>
      <c r="N8" s="17" t="s">
        <v>10</v>
      </c>
      <c r="O8" s="628"/>
      <c r="P8" s="643"/>
      <c r="Q8" s="628"/>
    </row>
    <row r="9" spans="1:17" ht="25.5" customHeight="1" x14ac:dyDescent="0.25">
      <c r="A9" s="12">
        <v>44480</v>
      </c>
      <c r="B9" s="13">
        <v>2010656735</v>
      </c>
      <c r="C9" s="13" t="s">
        <v>0</v>
      </c>
      <c r="D9" s="127">
        <v>63987.32</v>
      </c>
      <c r="E9" s="13" t="s">
        <v>36</v>
      </c>
      <c r="F9" s="13" t="s">
        <v>2</v>
      </c>
      <c r="G9" s="13" t="s">
        <v>67</v>
      </c>
      <c r="H9" s="13" t="s">
        <v>82</v>
      </c>
      <c r="I9" s="13" t="s">
        <v>86</v>
      </c>
      <c r="J9" s="13" t="s">
        <v>84</v>
      </c>
      <c r="K9" s="13" t="s">
        <v>85</v>
      </c>
      <c r="L9" s="13">
        <v>359</v>
      </c>
      <c r="M9" s="13">
        <v>28780</v>
      </c>
      <c r="N9" s="13" t="s">
        <v>38</v>
      </c>
      <c r="O9" s="634">
        <v>19644.107240000001</v>
      </c>
      <c r="P9" s="639">
        <f>O9/D9*100</f>
        <v>30.7</v>
      </c>
      <c r="Q9" s="634">
        <f>D9/(L9+L10)</f>
        <v>89.118830083565456</v>
      </c>
    </row>
    <row r="10" spans="1:17" ht="25.5" customHeight="1" x14ac:dyDescent="0.25">
      <c r="A10" s="12">
        <v>44481</v>
      </c>
      <c r="B10" s="13">
        <v>2816803</v>
      </c>
      <c r="C10" s="13" t="s">
        <v>9</v>
      </c>
      <c r="D10" s="127">
        <v>0</v>
      </c>
      <c r="E10" s="13"/>
      <c r="F10" s="13" t="s">
        <v>67</v>
      </c>
      <c r="G10" s="13" t="s">
        <v>2</v>
      </c>
      <c r="H10" s="13" t="s">
        <v>82</v>
      </c>
      <c r="I10" s="13" t="s">
        <v>86</v>
      </c>
      <c r="J10" s="13" t="s">
        <v>84</v>
      </c>
      <c r="K10" s="13" t="s">
        <v>85</v>
      </c>
      <c r="L10" s="13">
        <v>359</v>
      </c>
      <c r="M10" s="13">
        <v>0</v>
      </c>
      <c r="N10" s="13" t="s">
        <v>10</v>
      </c>
      <c r="O10" s="634"/>
      <c r="P10" s="639"/>
      <c r="Q10" s="634"/>
    </row>
    <row r="11" spans="1:17" ht="25.5" customHeight="1" x14ac:dyDescent="0.25">
      <c r="A11" s="14">
        <v>44482</v>
      </c>
      <c r="B11" s="15">
        <v>2010663518</v>
      </c>
      <c r="C11" s="15" t="s">
        <v>0</v>
      </c>
      <c r="D11" s="129">
        <v>125108.71</v>
      </c>
      <c r="E11" s="15" t="s">
        <v>39</v>
      </c>
      <c r="F11" s="15" t="s">
        <v>2</v>
      </c>
      <c r="G11" s="15" t="s">
        <v>3</v>
      </c>
      <c r="H11" s="15" t="s">
        <v>82</v>
      </c>
      <c r="I11" s="15" t="s">
        <v>83</v>
      </c>
      <c r="J11" s="15" t="s">
        <v>84</v>
      </c>
      <c r="K11" s="15" t="s">
        <v>85</v>
      </c>
      <c r="L11" s="15">
        <v>740</v>
      </c>
      <c r="M11" s="15">
        <v>29040</v>
      </c>
      <c r="N11" s="15" t="s">
        <v>8</v>
      </c>
      <c r="O11" s="632">
        <v>38408.373970000001</v>
      </c>
      <c r="P11" s="646">
        <f>O11/D11*100</f>
        <v>30.7</v>
      </c>
      <c r="Q11" s="632">
        <f>D11/(L11+L12)</f>
        <v>84.532912162162162</v>
      </c>
    </row>
    <row r="12" spans="1:17" ht="25.5" customHeight="1" x14ac:dyDescent="0.25">
      <c r="A12" s="14">
        <v>44483</v>
      </c>
      <c r="B12" s="15">
        <v>2816790</v>
      </c>
      <c r="C12" s="15" t="s">
        <v>9</v>
      </c>
      <c r="D12" s="129">
        <v>0</v>
      </c>
      <c r="E12" s="15"/>
      <c r="F12" s="15" t="s">
        <v>3</v>
      </c>
      <c r="G12" s="15" t="s">
        <v>2</v>
      </c>
      <c r="H12" s="15" t="s">
        <v>82</v>
      </c>
      <c r="I12" s="15" t="s">
        <v>83</v>
      </c>
      <c r="J12" s="15" t="s">
        <v>84</v>
      </c>
      <c r="K12" s="15" t="s">
        <v>85</v>
      </c>
      <c r="L12" s="15">
        <v>740</v>
      </c>
      <c r="M12" s="15">
        <v>0</v>
      </c>
      <c r="N12" s="15" t="s">
        <v>10</v>
      </c>
      <c r="O12" s="632"/>
      <c r="P12" s="646"/>
      <c r="Q12" s="632"/>
    </row>
    <row r="13" spans="1:17" ht="25.5" customHeight="1" x14ac:dyDescent="0.25">
      <c r="A13" s="10">
        <v>44485</v>
      </c>
      <c r="B13" s="11">
        <v>2010683389</v>
      </c>
      <c r="C13" s="11" t="s">
        <v>0</v>
      </c>
      <c r="D13" s="125">
        <v>159588.71</v>
      </c>
      <c r="E13" s="11" t="s">
        <v>39</v>
      </c>
      <c r="F13" s="11" t="s">
        <v>2</v>
      </c>
      <c r="G13" s="11" t="s">
        <v>87</v>
      </c>
      <c r="H13" s="11" t="s">
        <v>82</v>
      </c>
      <c r="I13" s="11" t="s">
        <v>86</v>
      </c>
      <c r="J13" s="11" t="s">
        <v>84</v>
      </c>
      <c r="K13" s="11" t="s">
        <v>85</v>
      </c>
      <c r="L13" s="11">
        <v>941</v>
      </c>
      <c r="M13" s="11">
        <v>29030</v>
      </c>
      <c r="N13" s="11" t="s">
        <v>38</v>
      </c>
      <c r="O13" s="630">
        <v>48993.733970000001</v>
      </c>
      <c r="P13" s="636">
        <f>O13/D13*100</f>
        <v>30.7</v>
      </c>
      <c r="Q13" s="630">
        <f>D13/(L13+L14)</f>
        <v>84.797401700318801</v>
      </c>
    </row>
    <row r="14" spans="1:17" ht="25.5" customHeight="1" x14ac:dyDescent="0.25">
      <c r="A14" s="10">
        <v>44487</v>
      </c>
      <c r="B14" s="11">
        <v>2816769</v>
      </c>
      <c r="C14" s="11" t="s">
        <v>9</v>
      </c>
      <c r="D14" s="125">
        <v>0</v>
      </c>
      <c r="E14" s="11"/>
      <c r="F14" s="11" t="s">
        <v>87</v>
      </c>
      <c r="G14" s="11" t="s">
        <v>2</v>
      </c>
      <c r="H14" s="11" t="s">
        <v>82</v>
      </c>
      <c r="I14" s="11" t="s">
        <v>86</v>
      </c>
      <c r="J14" s="11" t="s">
        <v>84</v>
      </c>
      <c r="K14" s="11" t="s">
        <v>85</v>
      </c>
      <c r="L14" s="11">
        <v>941</v>
      </c>
      <c r="M14" s="11">
        <v>0</v>
      </c>
      <c r="N14" s="11" t="s">
        <v>10</v>
      </c>
      <c r="O14" s="630"/>
      <c r="P14" s="636"/>
      <c r="Q14" s="630"/>
    </row>
    <row r="15" spans="1:17" ht="25.5" customHeight="1" x14ac:dyDescent="0.25">
      <c r="A15" s="16">
        <v>44489</v>
      </c>
      <c r="B15" s="17">
        <v>2010680887</v>
      </c>
      <c r="C15" s="17" t="s">
        <v>0</v>
      </c>
      <c r="D15" s="128">
        <v>83769.83</v>
      </c>
      <c r="E15" s="17" t="s">
        <v>60</v>
      </c>
      <c r="F15" s="17" t="s">
        <v>2</v>
      </c>
      <c r="G15" s="17" t="s">
        <v>88</v>
      </c>
      <c r="H15" s="17" t="s">
        <v>82</v>
      </c>
      <c r="I15" s="17" t="s">
        <v>83</v>
      </c>
      <c r="J15" s="17" t="s">
        <v>84</v>
      </c>
      <c r="K15" s="17" t="s">
        <v>85</v>
      </c>
      <c r="L15" s="17">
        <v>470</v>
      </c>
      <c r="M15" s="17">
        <v>29170</v>
      </c>
      <c r="N15" s="17" t="s">
        <v>8</v>
      </c>
      <c r="O15" s="628">
        <v>25717.337810000001</v>
      </c>
      <c r="P15" s="643">
        <f>O15/D15*100</f>
        <v>30.7</v>
      </c>
      <c r="Q15" s="628">
        <f>D15/(L15+L16)</f>
        <v>89.116840425531919</v>
      </c>
    </row>
    <row r="16" spans="1:17" ht="25.5" customHeight="1" x14ac:dyDescent="0.25">
      <c r="A16" s="16">
        <v>44489</v>
      </c>
      <c r="B16" s="17">
        <v>2816752</v>
      </c>
      <c r="C16" s="17" t="s">
        <v>9</v>
      </c>
      <c r="D16" s="128">
        <v>0</v>
      </c>
      <c r="E16" s="17"/>
      <c r="F16" s="17" t="s">
        <v>88</v>
      </c>
      <c r="G16" s="17" t="s">
        <v>2</v>
      </c>
      <c r="H16" s="17" t="s">
        <v>82</v>
      </c>
      <c r="I16" s="17" t="s">
        <v>83</v>
      </c>
      <c r="J16" s="17" t="s">
        <v>84</v>
      </c>
      <c r="K16" s="17" t="s">
        <v>85</v>
      </c>
      <c r="L16" s="17">
        <v>470</v>
      </c>
      <c r="M16" s="17">
        <v>0</v>
      </c>
      <c r="N16" s="17" t="s">
        <v>10</v>
      </c>
      <c r="O16" s="628"/>
      <c r="P16" s="643"/>
      <c r="Q16" s="628"/>
    </row>
    <row r="17" spans="1:17" ht="25.5" customHeight="1" x14ac:dyDescent="0.25">
      <c r="A17" s="12">
        <v>44490</v>
      </c>
      <c r="B17" s="13">
        <v>2010694808</v>
      </c>
      <c r="C17" s="13" t="s">
        <v>0</v>
      </c>
      <c r="D17" s="127">
        <v>125108.71</v>
      </c>
      <c r="E17" s="13" t="s">
        <v>60</v>
      </c>
      <c r="F17" s="13" t="s">
        <v>2</v>
      </c>
      <c r="G17" s="13" t="s">
        <v>3</v>
      </c>
      <c r="H17" s="13" t="s">
        <v>82</v>
      </c>
      <c r="I17" s="13" t="s">
        <v>86</v>
      </c>
      <c r="J17" s="13" t="s">
        <v>84</v>
      </c>
      <c r="K17" s="13" t="s">
        <v>85</v>
      </c>
      <c r="L17" s="13">
        <v>740</v>
      </c>
      <c r="M17" s="13">
        <v>29170</v>
      </c>
      <c r="N17" s="13" t="s">
        <v>8</v>
      </c>
      <c r="O17" s="634">
        <v>38408.373970000001</v>
      </c>
      <c r="P17" s="639">
        <f>O17/D17*100</f>
        <v>30.7</v>
      </c>
      <c r="Q17" s="634">
        <f>D17/(L17+L18)</f>
        <v>84.532912162162162</v>
      </c>
    </row>
    <row r="18" spans="1:17" ht="25.5" customHeight="1" x14ac:dyDescent="0.25">
      <c r="A18" s="12">
        <v>44491</v>
      </c>
      <c r="B18" s="13">
        <v>2816738</v>
      </c>
      <c r="C18" s="13" t="s">
        <v>9</v>
      </c>
      <c r="D18" s="127">
        <v>0</v>
      </c>
      <c r="E18" s="13"/>
      <c r="F18" s="13" t="s">
        <v>3</v>
      </c>
      <c r="G18" s="13" t="s">
        <v>2</v>
      </c>
      <c r="H18" s="13" t="s">
        <v>82</v>
      </c>
      <c r="I18" s="13" t="s">
        <v>86</v>
      </c>
      <c r="J18" s="13" t="s">
        <v>84</v>
      </c>
      <c r="K18" s="13" t="s">
        <v>85</v>
      </c>
      <c r="L18" s="13">
        <v>740</v>
      </c>
      <c r="M18" s="13">
        <v>0</v>
      </c>
      <c r="N18" s="13" t="s">
        <v>10</v>
      </c>
      <c r="O18" s="634"/>
      <c r="P18" s="639"/>
      <c r="Q18" s="634"/>
    </row>
    <row r="19" spans="1:17" ht="25.5" customHeight="1" x14ac:dyDescent="0.25">
      <c r="A19" s="14">
        <v>44494</v>
      </c>
      <c r="B19" s="15">
        <v>2010694165</v>
      </c>
      <c r="C19" s="15" t="s">
        <v>0</v>
      </c>
      <c r="D19" s="129">
        <v>125108.71</v>
      </c>
      <c r="E19" s="15" t="s">
        <v>1</v>
      </c>
      <c r="F19" s="15" t="s">
        <v>2</v>
      </c>
      <c r="G19" s="15" t="s">
        <v>35</v>
      </c>
      <c r="H19" s="15" t="s">
        <v>82</v>
      </c>
      <c r="I19" s="15" t="s">
        <v>83</v>
      </c>
      <c r="J19" s="15" t="s">
        <v>84</v>
      </c>
      <c r="K19" s="15" t="s">
        <v>85</v>
      </c>
      <c r="L19" s="15">
        <v>740</v>
      </c>
      <c r="M19" s="15">
        <v>29220</v>
      </c>
      <c r="N19" s="15" t="s">
        <v>8</v>
      </c>
      <c r="O19" s="632">
        <v>38408.373970000001</v>
      </c>
      <c r="P19" s="646">
        <f>O19/D19*100</f>
        <v>30.7</v>
      </c>
      <c r="Q19" s="632">
        <f>D19/(L19+L20)</f>
        <v>84.532912162162162</v>
      </c>
    </row>
    <row r="20" spans="1:17" ht="25.5" customHeight="1" x14ac:dyDescent="0.25">
      <c r="A20" s="14">
        <v>44496</v>
      </c>
      <c r="B20" s="15">
        <v>2816715</v>
      </c>
      <c r="C20" s="15" t="s">
        <v>9</v>
      </c>
      <c r="D20" s="129">
        <v>0</v>
      </c>
      <c r="E20" s="15"/>
      <c r="F20" s="15" t="s">
        <v>35</v>
      </c>
      <c r="G20" s="15" t="s">
        <v>2</v>
      </c>
      <c r="H20" s="15" t="s">
        <v>82</v>
      </c>
      <c r="I20" s="15" t="s">
        <v>83</v>
      </c>
      <c r="J20" s="15" t="s">
        <v>84</v>
      </c>
      <c r="K20" s="15" t="s">
        <v>85</v>
      </c>
      <c r="L20" s="15">
        <v>740</v>
      </c>
      <c r="M20" s="15">
        <v>0</v>
      </c>
      <c r="N20" s="15" t="s">
        <v>10</v>
      </c>
      <c r="O20" s="632"/>
      <c r="P20" s="646"/>
      <c r="Q20" s="632"/>
    </row>
    <row r="21" spans="1:17" ht="25.5" customHeight="1" x14ac:dyDescent="0.25">
      <c r="A21" s="10">
        <v>44498</v>
      </c>
      <c r="B21" s="11">
        <v>2010721883</v>
      </c>
      <c r="C21" s="11" t="s">
        <v>0</v>
      </c>
      <c r="D21" s="125">
        <v>63987.32</v>
      </c>
      <c r="E21" s="11" t="s">
        <v>11</v>
      </c>
      <c r="F21" s="11" t="s">
        <v>2</v>
      </c>
      <c r="G21" s="11" t="s">
        <v>67</v>
      </c>
      <c r="H21" s="11" t="s">
        <v>82</v>
      </c>
      <c r="I21" s="11" t="s">
        <v>83</v>
      </c>
      <c r="J21" s="11" t="s">
        <v>84</v>
      </c>
      <c r="K21" s="11" t="s">
        <v>85</v>
      </c>
      <c r="L21" s="11">
        <v>359</v>
      </c>
      <c r="M21" s="11">
        <v>29270</v>
      </c>
      <c r="N21" s="11" t="s">
        <v>38</v>
      </c>
      <c r="O21" s="630">
        <v>19644.107240000001</v>
      </c>
      <c r="P21" s="636">
        <f>O21/D21*100</f>
        <v>30.7</v>
      </c>
      <c r="Q21" s="630">
        <f>D21/(L21+L22)</f>
        <v>89.118830083565456</v>
      </c>
    </row>
    <row r="22" spans="1:17" ht="25.5" customHeight="1" x14ac:dyDescent="0.25">
      <c r="A22" s="54">
        <v>44499</v>
      </c>
      <c r="B22" s="55">
        <v>2816700</v>
      </c>
      <c r="C22" s="55" t="s">
        <v>9</v>
      </c>
      <c r="D22" s="131">
        <v>0</v>
      </c>
      <c r="E22" s="55"/>
      <c r="F22" s="55" t="s">
        <v>67</v>
      </c>
      <c r="G22" s="55" t="s">
        <v>2</v>
      </c>
      <c r="H22" s="55" t="s">
        <v>82</v>
      </c>
      <c r="I22" s="55" t="s">
        <v>83</v>
      </c>
      <c r="J22" s="55" t="s">
        <v>84</v>
      </c>
      <c r="K22" s="55" t="s">
        <v>85</v>
      </c>
      <c r="L22" s="55">
        <v>359</v>
      </c>
      <c r="M22" s="55">
        <v>0</v>
      </c>
      <c r="N22" s="55" t="s">
        <v>10</v>
      </c>
      <c r="O22" s="630"/>
      <c r="P22" s="636"/>
      <c r="Q22" s="630"/>
    </row>
    <row r="23" spans="1:17" x14ac:dyDescent="0.25">
      <c r="A23" s="9"/>
      <c r="B23" s="9"/>
      <c r="C23" s="9"/>
      <c r="D23" s="18">
        <f>SUM(D4:D22)</f>
        <v>996876.72999999986</v>
      </c>
      <c r="E23" s="9"/>
      <c r="F23" s="9"/>
      <c r="G23" s="9"/>
      <c r="H23" s="9"/>
      <c r="I23" s="9"/>
      <c r="J23" s="9"/>
      <c r="K23" s="9"/>
      <c r="L23" s="9">
        <f>SUM(L4:L22)</f>
        <v>12398</v>
      </c>
      <c r="M23" s="9"/>
      <c r="N23" s="9"/>
      <c r="O23" s="24">
        <f>SUM(O4:O22)</f>
        <v>306041.15610999998</v>
      </c>
      <c r="P23" s="28">
        <f>O23/D23*100</f>
        <v>30.700000000000006</v>
      </c>
      <c r="Q23" s="26">
        <f>D23/L23</f>
        <v>80.406253427972246</v>
      </c>
    </row>
    <row r="25" spans="1:17" x14ac:dyDescent="0.25">
      <c r="A25" s="99" t="s">
        <v>322</v>
      </c>
      <c r="B25" s="100" t="s">
        <v>328</v>
      </c>
      <c r="C25" s="101"/>
      <c r="D25" s="102"/>
    </row>
    <row r="26" spans="1:17" x14ac:dyDescent="0.25">
      <c r="A26" s="103">
        <f>D23/L23</f>
        <v>80.406253427972246</v>
      </c>
      <c r="B26" s="9"/>
      <c r="C26" s="104"/>
      <c r="D26" s="105"/>
    </row>
    <row r="27" spans="1:17" x14ac:dyDescent="0.25">
      <c r="D27" s="25"/>
    </row>
    <row r="28" spans="1:17" x14ac:dyDescent="0.25">
      <c r="A28" s="36"/>
      <c r="B28" s="36" t="s">
        <v>329</v>
      </c>
      <c r="C28" s="36" t="s">
        <v>330</v>
      </c>
      <c r="D28" s="106" t="s">
        <v>85</v>
      </c>
    </row>
    <row r="29" spans="1:17" x14ac:dyDescent="0.25">
      <c r="A29" s="7" t="s">
        <v>331</v>
      </c>
      <c r="B29" s="42">
        <f>D23</f>
        <v>996876.72999999986</v>
      </c>
      <c r="C29" s="45">
        <f>B30</f>
        <v>306041.15610999998</v>
      </c>
      <c r="D29" s="46">
        <f>C29/B29</f>
        <v>0.30700000000000005</v>
      </c>
    </row>
    <row r="30" spans="1:17" x14ac:dyDescent="0.25">
      <c r="A30" s="47" t="s">
        <v>27</v>
      </c>
      <c r="B30" s="24">
        <f>O23</f>
        <v>306041.15610999998</v>
      </c>
      <c r="C30" s="9"/>
      <c r="D30" s="25"/>
    </row>
    <row r="31" spans="1:17" x14ac:dyDescent="0.25">
      <c r="A31" s="48" t="s">
        <v>332</v>
      </c>
      <c r="B31" s="107"/>
      <c r="C31" s="49">
        <f>(12*(78578.313+12454.55))/(150000+80000)*L23</f>
        <v>58884.805329078255</v>
      </c>
      <c r="D31" s="25"/>
    </row>
    <row r="32" spans="1:17" x14ac:dyDescent="0.25">
      <c r="A32" s="48" t="s">
        <v>335</v>
      </c>
      <c r="B32" s="107"/>
      <c r="C32" s="42"/>
      <c r="D32" s="25"/>
    </row>
    <row r="33" spans="1:4" x14ac:dyDescent="0.25">
      <c r="A33" s="48" t="s">
        <v>336</v>
      </c>
      <c r="B33" s="107"/>
      <c r="C33" s="42">
        <f>'PATENTE MUNICIPAL'!I33</f>
        <v>20.833333333333332</v>
      </c>
      <c r="D33" s="25"/>
    </row>
    <row r="34" spans="1:4" x14ac:dyDescent="0.25">
      <c r="A34" s="48" t="s">
        <v>337</v>
      </c>
      <c r="B34" s="107"/>
      <c r="C34" s="42">
        <f>SEGURO!K37</f>
        <v>261.09831688804553</v>
      </c>
      <c r="D34" s="25"/>
    </row>
    <row r="35" spans="1:4" x14ac:dyDescent="0.25">
      <c r="A35" s="48" t="s">
        <v>339</v>
      </c>
      <c r="B35" s="107"/>
      <c r="C35" s="42"/>
      <c r="D35" s="25"/>
    </row>
    <row r="36" spans="1:4" x14ac:dyDescent="0.25">
      <c r="A36" s="48" t="s">
        <v>340</v>
      </c>
      <c r="B36" s="107"/>
      <c r="C36" s="51">
        <f>SUM(C31:C35)</f>
        <v>59166.73697929964</v>
      </c>
      <c r="D36" s="25"/>
    </row>
    <row r="37" spans="1:4" x14ac:dyDescent="0.25">
      <c r="A37" s="36" t="s">
        <v>341</v>
      </c>
      <c r="B37" s="107"/>
      <c r="C37" s="53">
        <f>C29-C30-C36</f>
        <v>246874.41913070035</v>
      </c>
      <c r="D37" s="106">
        <f>+B37+C37</f>
        <v>246874.41913070035</v>
      </c>
    </row>
  </sheetData>
  <sortState xmlns:xlrd2="http://schemas.microsoft.com/office/spreadsheetml/2017/richdata2" ref="A2:P21">
    <sortCondition ref="A1"/>
  </sortState>
  <mergeCells count="28"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  <mergeCell ref="Q13:Q14"/>
    <mergeCell ref="P13:P14"/>
    <mergeCell ref="O13:O14"/>
    <mergeCell ref="Q11:Q12"/>
    <mergeCell ref="P11:P12"/>
    <mergeCell ref="O11:O12"/>
    <mergeCell ref="Q17:Q18"/>
    <mergeCell ref="P17:P18"/>
    <mergeCell ref="O17:O18"/>
    <mergeCell ref="Q15:Q16"/>
    <mergeCell ref="P15:P16"/>
    <mergeCell ref="O15:O16"/>
    <mergeCell ref="Q21:Q22"/>
    <mergeCell ref="P21:P22"/>
    <mergeCell ref="O21:O22"/>
    <mergeCell ref="Q19:Q20"/>
    <mergeCell ref="P19:P20"/>
    <mergeCell ref="O19:O20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00B0F0"/>
  </sheetPr>
  <dimension ref="A1:Q27"/>
  <sheetViews>
    <sheetView topLeftCell="A16" zoomScaleNormal="100" workbookViewId="0">
      <selection activeCell="E27" sqref="E27"/>
    </sheetView>
  </sheetViews>
  <sheetFormatPr baseColWidth="10" defaultRowHeight="15" x14ac:dyDescent="0.25"/>
  <cols>
    <col min="1" max="1" width="12.5703125" style="2" bestFit="1" customWidth="1"/>
    <col min="2" max="2" width="12.140625" style="2" bestFit="1" customWidth="1"/>
    <col min="3" max="3" width="14" style="2" bestFit="1" customWidth="1"/>
    <col min="4" max="4" width="14.5703125" style="2" bestFit="1" customWidth="1"/>
    <col min="5" max="5" width="41" style="2" bestFit="1" customWidth="1"/>
    <col min="6" max="7" width="47.42578125" style="2" bestFit="1" customWidth="1"/>
    <col min="8" max="8" width="26" style="2" bestFit="1" customWidth="1"/>
    <col min="9" max="9" width="22.7109375" style="2" bestFit="1" customWidth="1"/>
    <col min="10" max="10" width="8.42578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7" t="s">
        <v>386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3027410</v>
      </c>
      <c r="C4" s="11" t="s">
        <v>50</v>
      </c>
      <c r="D4" s="125">
        <v>88543.13</v>
      </c>
      <c r="E4" s="11" t="s">
        <v>51</v>
      </c>
      <c r="F4" s="11" t="s">
        <v>46</v>
      </c>
      <c r="G4" s="11" t="s">
        <v>69</v>
      </c>
      <c r="H4" s="11" t="s">
        <v>190</v>
      </c>
      <c r="I4" s="11" t="s">
        <v>191</v>
      </c>
      <c r="J4" s="11" t="s">
        <v>192</v>
      </c>
      <c r="K4" s="11" t="s">
        <v>193</v>
      </c>
      <c r="L4" s="11">
        <v>528</v>
      </c>
      <c r="M4" s="11">
        <v>29220</v>
      </c>
      <c r="N4" s="11" t="s">
        <v>38</v>
      </c>
      <c r="O4" s="637">
        <f>(D4+D6)*9.33/100</f>
        <v>18927.478037999997</v>
      </c>
      <c r="P4" s="669">
        <f>O4/(D4+D6)*100</f>
        <v>9.33</v>
      </c>
      <c r="Q4" s="630">
        <f>(D4+D6)/(L4+L5+L6)</f>
        <v>145.21607730851824</v>
      </c>
    </row>
    <row r="5" spans="1:17" ht="25.5" customHeight="1" x14ac:dyDescent="0.25">
      <c r="A5" s="10">
        <v>44471</v>
      </c>
      <c r="B5" s="11">
        <v>2816269</v>
      </c>
      <c r="C5" s="11" t="s">
        <v>9</v>
      </c>
      <c r="D5" s="125">
        <v>0</v>
      </c>
      <c r="E5" s="11"/>
      <c r="F5" s="11" t="s">
        <v>69</v>
      </c>
      <c r="G5" s="11" t="s">
        <v>74</v>
      </c>
      <c r="H5" s="11" t="s">
        <v>190</v>
      </c>
      <c r="I5" s="11" t="s">
        <v>191</v>
      </c>
      <c r="J5" s="11" t="s">
        <v>192</v>
      </c>
      <c r="K5" s="11" t="s">
        <v>193</v>
      </c>
      <c r="L5" s="11">
        <v>169</v>
      </c>
      <c r="M5" s="11">
        <v>0</v>
      </c>
      <c r="N5" s="11" t="s">
        <v>10</v>
      </c>
      <c r="O5" s="650"/>
      <c r="P5" s="669"/>
      <c r="Q5" s="630"/>
    </row>
    <row r="6" spans="1:17" ht="25.5" customHeight="1" x14ac:dyDescent="0.25">
      <c r="A6" s="10">
        <v>44472</v>
      </c>
      <c r="B6" s="11">
        <v>3028663</v>
      </c>
      <c r="C6" s="11" t="s">
        <v>50</v>
      </c>
      <c r="D6" s="125">
        <v>114323.73</v>
      </c>
      <c r="E6" s="11" t="s">
        <v>75</v>
      </c>
      <c r="F6" s="11" t="s">
        <v>74</v>
      </c>
      <c r="G6" s="11" t="s">
        <v>46</v>
      </c>
      <c r="H6" s="11" t="s">
        <v>190</v>
      </c>
      <c r="I6" s="11" t="s">
        <v>191</v>
      </c>
      <c r="J6" s="11" t="s">
        <v>192</v>
      </c>
      <c r="K6" s="11" t="s">
        <v>193</v>
      </c>
      <c r="L6" s="11">
        <v>700</v>
      </c>
      <c r="M6" s="11">
        <v>28170</v>
      </c>
      <c r="N6" s="11" t="s">
        <v>38</v>
      </c>
      <c r="O6" s="638"/>
      <c r="P6" s="669"/>
      <c r="Q6" s="630"/>
    </row>
    <row r="7" spans="1:17" ht="25.5" customHeight="1" x14ac:dyDescent="0.25">
      <c r="A7" s="16">
        <v>44473</v>
      </c>
      <c r="B7" s="17">
        <v>3029249</v>
      </c>
      <c r="C7" s="17" t="s">
        <v>50</v>
      </c>
      <c r="D7" s="128">
        <v>86292.38</v>
      </c>
      <c r="E7" s="17" t="s">
        <v>51</v>
      </c>
      <c r="F7" s="17" t="s">
        <v>46</v>
      </c>
      <c r="G7" s="17" t="s">
        <v>78</v>
      </c>
      <c r="H7" s="17" t="s">
        <v>190</v>
      </c>
      <c r="I7" s="17" t="s">
        <v>191</v>
      </c>
      <c r="J7" s="17" t="s">
        <v>192</v>
      </c>
      <c r="K7" s="17" t="s">
        <v>193</v>
      </c>
      <c r="L7" s="17">
        <v>508</v>
      </c>
      <c r="M7" s="17">
        <v>29600</v>
      </c>
      <c r="N7" s="17" t="s">
        <v>38</v>
      </c>
      <c r="O7" s="644">
        <v>8051.0790539999998</v>
      </c>
      <c r="P7" s="668">
        <f>O7/D7*100</f>
        <v>9.33</v>
      </c>
      <c r="Q7" s="628">
        <f>D7/(L7+L8)</f>
        <v>84.93344488188977</v>
      </c>
    </row>
    <row r="8" spans="1:17" ht="25.5" customHeight="1" x14ac:dyDescent="0.25">
      <c r="A8" s="16">
        <v>44474</v>
      </c>
      <c r="B8" s="17">
        <v>2816380</v>
      </c>
      <c r="C8" s="17" t="s">
        <v>9</v>
      </c>
      <c r="D8" s="128">
        <v>0</v>
      </c>
      <c r="E8" s="17"/>
      <c r="F8" s="17" t="s">
        <v>78</v>
      </c>
      <c r="G8" s="17" t="s">
        <v>46</v>
      </c>
      <c r="H8" s="17" t="s">
        <v>190</v>
      </c>
      <c r="I8" s="17" t="s">
        <v>191</v>
      </c>
      <c r="J8" s="17" t="s">
        <v>192</v>
      </c>
      <c r="K8" s="17" t="s">
        <v>193</v>
      </c>
      <c r="L8" s="17">
        <v>508</v>
      </c>
      <c r="M8" s="17">
        <v>0</v>
      </c>
      <c r="N8" s="17" t="s">
        <v>10</v>
      </c>
      <c r="O8" s="645"/>
      <c r="P8" s="668"/>
      <c r="Q8" s="628"/>
    </row>
    <row r="9" spans="1:17" ht="25.5" customHeight="1" x14ac:dyDescent="0.25">
      <c r="A9" s="12">
        <v>44475</v>
      </c>
      <c r="B9" s="13">
        <v>3030673</v>
      </c>
      <c r="C9" s="13" t="s">
        <v>50</v>
      </c>
      <c r="D9" s="127">
        <v>101979.57</v>
      </c>
      <c r="E9" s="13" t="s">
        <v>51</v>
      </c>
      <c r="F9" s="13" t="s">
        <v>46</v>
      </c>
      <c r="G9" s="13" t="s">
        <v>194</v>
      </c>
      <c r="H9" s="13" t="s">
        <v>190</v>
      </c>
      <c r="I9" s="13" t="s">
        <v>191</v>
      </c>
      <c r="J9" s="13" t="s">
        <v>192</v>
      </c>
      <c r="K9" s="13" t="s">
        <v>193</v>
      </c>
      <c r="L9" s="13">
        <v>670</v>
      </c>
      <c r="M9" s="13">
        <v>28280</v>
      </c>
      <c r="N9" s="13" t="s">
        <v>38</v>
      </c>
      <c r="O9" s="640">
        <v>9514.6938809999992</v>
      </c>
      <c r="P9" s="671">
        <f>O9/D9*100</f>
        <v>9.3299999999999983</v>
      </c>
      <c r="Q9" s="634">
        <f>D9/(L9+L10)</f>
        <v>76.104156716417918</v>
      </c>
    </row>
    <row r="10" spans="1:17" ht="25.5" customHeight="1" x14ac:dyDescent="0.25">
      <c r="A10" s="12">
        <v>44476</v>
      </c>
      <c r="B10" s="13">
        <v>2816381</v>
      </c>
      <c r="C10" s="13" t="s">
        <v>9</v>
      </c>
      <c r="D10" s="127">
        <v>0</v>
      </c>
      <c r="E10" s="13"/>
      <c r="F10" s="13" t="s">
        <v>194</v>
      </c>
      <c r="G10" s="13" t="s">
        <v>46</v>
      </c>
      <c r="H10" s="13" t="s">
        <v>190</v>
      </c>
      <c r="I10" s="13" t="s">
        <v>191</v>
      </c>
      <c r="J10" s="13" t="s">
        <v>192</v>
      </c>
      <c r="K10" s="13" t="s">
        <v>193</v>
      </c>
      <c r="L10" s="13">
        <v>670</v>
      </c>
      <c r="M10" s="13">
        <v>0</v>
      </c>
      <c r="N10" s="13" t="s">
        <v>10</v>
      </c>
      <c r="O10" s="642"/>
      <c r="P10" s="671"/>
      <c r="Q10" s="634"/>
    </row>
    <row r="11" spans="1:17" ht="25.5" customHeight="1" x14ac:dyDescent="0.25">
      <c r="A11" s="14">
        <v>44477</v>
      </c>
      <c r="B11" s="15">
        <v>3031734</v>
      </c>
      <c r="C11" s="15" t="s">
        <v>50</v>
      </c>
      <c r="D11" s="129">
        <v>105398.66</v>
      </c>
      <c r="E11" s="15" t="s">
        <v>68</v>
      </c>
      <c r="F11" s="15" t="s">
        <v>46</v>
      </c>
      <c r="G11" s="15" t="s">
        <v>74</v>
      </c>
      <c r="H11" s="15" t="s">
        <v>190</v>
      </c>
      <c r="I11" s="15" t="s">
        <v>191</v>
      </c>
      <c r="J11" s="15" t="s">
        <v>192</v>
      </c>
      <c r="K11" s="15" t="s">
        <v>193</v>
      </c>
      <c r="L11" s="15">
        <v>700</v>
      </c>
      <c r="M11" s="15">
        <v>29220</v>
      </c>
      <c r="N11" s="15" t="s">
        <v>38</v>
      </c>
      <c r="O11" s="647">
        <v>20573.189999999999</v>
      </c>
      <c r="P11" s="670">
        <f>O11/(D11+D12)*100</f>
        <v>9.3299977905347085</v>
      </c>
      <c r="Q11" s="632">
        <f>(D11+D12)/(L11+L12)</f>
        <v>157.50417142857142</v>
      </c>
    </row>
    <row r="12" spans="1:17" ht="25.5" customHeight="1" x14ac:dyDescent="0.25">
      <c r="A12" s="14">
        <v>44481</v>
      </c>
      <c r="B12" s="15">
        <v>3032764</v>
      </c>
      <c r="C12" s="15" t="s">
        <v>50</v>
      </c>
      <c r="D12" s="129">
        <v>115107.18</v>
      </c>
      <c r="E12" s="15" t="s">
        <v>95</v>
      </c>
      <c r="F12" s="15" t="s">
        <v>74</v>
      </c>
      <c r="G12" s="15" t="s">
        <v>46</v>
      </c>
      <c r="H12" s="15" t="s">
        <v>190</v>
      </c>
      <c r="I12" s="15" t="s">
        <v>191</v>
      </c>
      <c r="J12" s="15" t="s">
        <v>192</v>
      </c>
      <c r="K12" s="15" t="s">
        <v>193</v>
      </c>
      <c r="L12" s="15">
        <v>700</v>
      </c>
      <c r="M12" s="15">
        <v>29370</v>
      </c>
      <c r="N12" s="15" t="s">
        <v>38</v>
      </c>
      <c r="O12" s="648"/>
      <c r="P12" s="670"/>
      <c r="Q12" s="632"/>
    </row>
    <row r="13" spans="1:17" ht="25.5" customHeight="1" x14ac:dyDescent="0.25">
      <c r="A13" s="10">
        <v>44484</v>
      </c>
      <c r="B13" s="11">
        <v>3033964</v>
      </c>
      <c r="C13" s="11" t="s">
        <v>50</v>
      </c>
      <c r="D13" s="125">
        <v>86350.68</v>
      </c>
      <c r="E13" s="11" t="s">
        <v>68</v>
      </c>
      <c r="F13" s="11" t="s">
        <v>46</v>
      </c>
      <c r="G13" s="11" t="s">
        <v>78</v>
      </c>
      <c r="H13" s="11" t="s">
        <v>190</v>
      </c>
      <c r="I13" s="11" t="s">
        <v>191</v>
      </c>
      <c r="J13" s="11" t="s">
        <v>192</v>
      </c>
      <c r="K13" s="11" t="s">
        <v>193</v>
      </c>
      <c r="L13" s="11">
        <v>508</v>
      </c>
      <c r="M13" s="11">
        <v>0</v>
      </c>
      <c r="N13" s="11" t="s">
        <v>38</v>
      </c>
      <c r="O13" s="637">
        <v>18679.05</v>
      </c>
      <c r="P13" s="669">
        <f>O13/(D13+D15)*100</f>
        <v>9.3300018670942571</v>
      </c>
      <c r="Q13" s="630">
        <f>(D13+D15)/(L13+L14+L15)</f>
        <v>85.814033433347632</v>
      </c>
    </row>
    <row r="14" spans="1:17" ht="25.5" customHeight="1" x14ac:dyDescent="0.25">
      <c r="A14" s="10">
        <v>44485</v>
      </c>
      <c r="B14" s="11">
        <v>2816525</v>
      </c>
      <c r="C14" s="11" t="s">
        <v>9</v>
      </c>
      <c r="D14" s="125">
        <v>0</v>
      </c>
      <c r="E14" s="11"/>
      <c r="F14" s="11" t="s">
        <v>78</v>
      </c>
      <c r="G14" s="11" t="s">
        <v>74</v>
      </c>
      <c r="H14" s="11" t="s">
        <v>190</v>
      </c>
      <c r="I14" s="11" t="s">
        <v>191</v>
      </c>
      <c r="J14" s="11" t="s">
        <v>192</v>
      </c>
      <c r="K14" s="11" t="s">
        <v>193</v>
      </c>
      <c r="L14" s="11">
        <v>1125</v>
      </c>
      <c r="M14" s="11">
        <v>0</v>
      </c>
      <c r="N14" s="11" t="s">
        <v>10</v>
      </c>
      <c r="O14" s="650"/>
      <c r="P14" s="669"/>
      <c r="Q14" s="630"/>
    </row>
    <row r="15" spans="1:17" ht="25.5" customHeight="1" x14ac:dyDescent="0.25">
      <c r="A15" s="10">
        <v>44487</v>
      </c>
      <c r="B15" s="11">
        <v>3034999</v>
      </c>
      <c r="C15" s="11" t="s">
        <v>50</v>
      </c>
      <c r="D15" s="125">
        <v>113853.46</v>
      </c>
      <c r="E15" s="11" t="s">
        <v>95</v>
      </c>
      <c r="F15" s="11" t="s">
        <v>74</v>
      </c>
      <c r="G15" s="11" t="s">
        <v>46</v>
      </c>
      <c r="H15" s="11" t="s">
        <v>190</v>
      </c>
      <c r="I15" s="11" t="s">
        <v>191</v>
      </c>
      <c r="J15" s="11" t="s">
        <v>192</v>
      </c>
      <c r="K15" s="11" t="s">
        <v>193</v>
      </c>
      <c r="L15" s="11">
        <v>700</v>
      </c>
      <c r="M15" s="11">
        <v>29220</v>
      </c>
      <c r="N15" s="11" t="s">
        <v>38</v>
      </c>
      <c r="O15" s="638"/>
      <c r="P15" s="669"/>
      <c r="Q15" s="630"/>
    </row>
    <row r="16" spans="1:17" ht="25.5" customHeight="1" x14ac:dyDescent="0.25">
      <c r="A16" s="16">
        <v>44488</v>
      </c>
      <c r="B16" s="17">
        <v>3035814</v>
      </c>
      <c r="C16" s="17" t="s">
        <v>50</v>
      </c>
      <c r="D16" s="128">
        <v>105116.88</v>
      </c>
      <c r="E16" s="17" t="s">
        <v>68</v>
      </c>
      <c r="F16" s="17" t="s">
        <v>46</v>
      </c>
      <c r="G16" s="17" t="s">
        <v>195</v>
      </c>
      <c r="H16" s="17" t="s">
        <v>190</v>
      </c>
      <c r="I16" s="17" t="s">
        <v>191</v>
      </c>
      <c r="J16" s="17" t="s">
        <v>192</v>
      </c>
      <c r="K16" s="17" t="s">
        <v>193</v>
      </c>
      <c r="L16" s="17">
        <v>630</v>
      </c>
      <c r="M16" s="17">
        <v>29520</v>
      </c>
      <c r="N16" s="17" t="s">
        <v>38</v>
      </c>
      <c r="O16" s="644">
        <v>9807.4049040000009</v>
      </c>
      <c r="P16" s="668">
        <f>O16/D16*100</f>
        <v>9.33</v>
      </c>
      <c r="Q16" s="628">
        <f>D16/(L16+L17)</f>
        <v>83.426095238095243</v>
      </c>
    </row>
    <row r="17" spans="1:17" ht="25.5" customHeight="1" x14ac:dyDescent="0.25">
      <c r="A17" s="16">
        <v>44489</v>
      </c>
      <c r="B17" s="17">
        <v>2816545</v>
      </c>
      <c r="C17" s="17" t="s">
        <v>9</v>
      </c>
      <c r="D17" s="128">
        <v>0</v>
      </c>
      <c r="E17" s="17"/>
      <c r="F17" s="17" t="s">
        <v>195</v>
      </c>
      <c r="G17" s="17" t="s">
        <v>46</v>
      </c>
      <c r="H17" s="17" t="s">
        <v>190</v>
      </c>
      <c r="I17" s="17" t="s">
        <v>191</v>
      </c>
      <c r="J17" s="17" t="s">
        <v>192</v>
      </c>
      <c r="K17" s="17" t="s">
        <v>193</v>
      </c>
      <c r="L17" s="17">
        <v>630</v>
      </c>
      <c r="M17" s="17">
        <v>0</v>
      </c>
      <c r="N17" s="17" t="s">
        <v>10</v>
      </c>
      <c r="O17" s="645"/>
      <c r="P17" s="668"/>
      <c r="Q17" s="628"/>
    </row>
    <row r="18" spans="1:17" ht="25.5" customHeight="1" x14ac:dyDescent="0.25">
      <c r="A18" s="12">
        <v>44490</v>
      </c>
      <c r="B18" s="13">
        <v>3037658</v>
      </c>
      <c r="C18" s="13" t="s">
        <v>50</v>
      </c>
      <c r="D18" s="127">
        <v>78987.149999999994</v>
      </c>
      <c r="E18" s="13" t="s">
        <v>68</v>
      </c>
      <c r="F18" s="13" t="s">
        <v>46</v>
      </c>
      <c r="G18" s="13" t="s">
        <v>52</v>
      </c>
      <c r="H18" s="13" t="s">
        <v>190</v>
      </c>
      <c r="I18" s="13" t="s">
        <v>191</v>
      </c>
      <c r="J18" s="13" t="s">
        <v>192</v>
      </c>
      <c r="K18" s="13" t="s">
        <v>193</v>
      </c>
      <c r="L18" s="13">
        <v>450</v>
      </c>
      <c r="M18" s="13">
        <v>29300</v>
      </c>
      <c r="N18" s="13" t="s">
        <v>38</v>
      </c>
      <c r="O18" s="640">
        <v>7369.5010949999996</v>
      </c>
      <c r="P18" s="671">
        <f>O18/D18*100</f>
        <v>9.33</v>
      </c>
      <c r="Q18" s="634">
        <f>D18/(L18+L19)</f>
        <v>87.763499999999993</v>
      </c>
    </row>
    <row r="19" spans="1:17" ht="25.5" customHeight="1" x14ac:dyDescent="0.25">
      <c r="A19" s="12">
        <v>44491</v>
      </c>
      <c r="B19" s="13">
        <v>2816606</v>
      </c>
      <c r="C19" s="13" t="s">
        <v>9</v>
      </c>
      <c r="D19" s="127">
        <v>0</v>
      </c>
      <c r="E19" s="13"/>
      <c r="F19" s="13" t="s">
        <v>52</v>
      </c>
      <c r="G19" s="13" t="s">
        <v>46</v>
      </c>
      <c r="H19" s="13" t="s">
        <v>190</v>
      </c>
      <c r="I19" s="13" t="s">
        <v>191</v>
      </c>
      <c r="J19" s="13" t="s">
        <v>192</v>
      </c>
      <c r="K19" s="13" t="s">
        <v>193</v>
      </c>
      <c r="L19" s="13">
        <v>450</v>
      </c>
      <c r="M19" s="13">
        <v>0</v>
      </c>
      <c r="N19" s="13" t="s">
        <v>10</v>
      </c>
      <c r="O19" s="642"/>
      <c r="P19" s="671"/>
      <c r="Q19" s="634"/>
    </row>
    <row r="20" spans="1:17" ht="25.5" customHeight="1" x14ac:dyDescent="0.25">
      <c r="A20" s="14">
        <v>44494</v>
      </c>
      <c r="B20" s="15">
        <v>3039282</v>
      </c>
      <c r="C20" s="15" t="s">
        <v>50</v>
      </c>
      <c r="D20" s="129">
        <v>103840.25</v>
      </c>
      <c r="E20" s="15" t="s">
        <v>68</v>
      </c>
      <c r="F20" s="15" t="s">
        <v>46</v>
      </c>
      <c r="G20" s="15" t="s">
        <v>196</v>
      </c>
      <c r="H20" s="15" t="s">
        <v>190</v>
      </c>
      <c r="I20" s="15" t="s">
        <v>191</v>
      </c>
      <c r="J20" s="15" t="s">
        <v>192</v>
      </c>
      <c r="K20" s="15" t="s">
        <v>193</v>
      </c>
      <c r="L20" s="15">
        <v>680</v>
      </c>
      <c r="M20" s="15">
        <v>29120</v>
      </c>
      <c r="N20" s="15" t="s">
        <v>38</v>
      </c>
      <c r="O20" s="647">
        <v>9688.2953249999991</v>
      </c>
      <c r="P20" s="670">
        <f>O20/D20*100</f>
        <v>9.33</v>
      </c>
      <c r="Q20" s="632">
        <f>D20/(L20+L21)</f>
        <v>76.353125000000006</v>
      </c>
    </row>
    <row r="21" spans="1:17" ht="25.5" customHeight="1" x14ac:dyDescent="0.25">
      <c r="A21" s="14">
        <v>44495</v>
      </c>
      <c r="B21" s="15">
        <v>2816607</v>
      </c>
      <c r="C21" s="15" t="s">
        <v>9</v>
      </c>
      <c r="D21" s="129">
        <v>0</v>
      </c>
      <c r="E21" s="15"/>
      <c r="F21" s="15" t="s">
        <v>196</v>
      </c>
      <c r="G21" s="15" t="s">
        <v>46</v>
      </c>
      <c r="H21" s="15" t="s">
        <v>190</v>
      </c>
      <c r="I21" s="15" t="s">
        <v>191</v>
      </c>
      <c r="J21" s="15" t="s">
        <v>192</v>
      </c>
      <c r="K21" s="15" t="s">
        <v>193</v>
      </c>
      <c r="L21" s="15">
        <v>680</v>
      </c>
      <c r="M21" s="15">
        <v>0</v>
      </c>
      <c r="N21" s="15" t="s">
        <v>10</v>
      </c>
      <c r="O21" s="648"/>
      <c r="P21" s="670"/>
      <c r="Q21" s="632"/>
    </row>
    <row r="22" spans="1:17" ht="25.5" customHeight="1" x14ac:dyDescent="0.25">
      <c r="A22" s="10">
        <v>44496</v>
      </c>
      <c r="B22" s="11">
        <v>3040635</v>
      </c>
      <c r="C22" s="11" t="s">
        <v>50</v>
      </c>
      <c r="D22" s="125">
        <v>83085.570000000007</v>
      </c>
      <c r="E22" s="11" t="s">
        <v>68</v>
      </c>
      <c r="F22" s="11" t="s">
        <v>46</v>
      </c>
      <c r="G22" s="11" t="s">
        <v>78</v>
      </c>
      <c r="H22" s="11" t="s">
        <v>190</v>
      </c>
      <c r="I22" s="11" t="s">
        <v>191</v>
      </c>
      <c r="J22" s="11" t="s">
        <v>192</v>
      </c>
      <c r="K22" s="11" t="s">
        <v>193</v>
      </c>
      <c r="L22" s="11">
        <v>508</v>
      </c>
      <c r="M22" s="11">
        <v>28380</v>
      </c>
      <c r="N22" s="11" t="s">
        <v>38</v>
      </c>
      <c r="O22" s="637">
        <v>7751.8836810000003</v>
      </c>
      <c r="P22" s="669">
        <f>O22/D22*100</f>
        <v>9.33</v>
      </c>
      <c r="Q22" s="630">
        <f>D22/(L22+L23)</f>
        <v>81.777135826771655</v>
      </c>
    </row>
    <row r="23" spans="1:17" ht="25.5" customHeight="1" x14ac:dyDescent="0.25">
      <c r="A23" s="54">
        <v>44497</v>
      </c>
      <c r="B23" s="55">
        <v>2816652</v>
      </c>
      <c r="C23" s="55" t="s">
        <v>9</v>
      </c>
      <c r="D23" s="131">
        <v>0</v>
      </c>
      <c r="E23" s="55"/>
      <c r="F23" s="55" t="s">
        <v>78</v>
      </c>
      <c r="G23" s="55" t="s">
        <v>46</v>
      </c>
      <c r="H23" s="55" t="s">
        <v>190</v>
      </c>
      <c r="I23" s="55" t="s">
        <v>191</v>
      </c>
      <c r="J23" s="55" t="s">
        <v>192</v>
      </c>
      <c r="K23" s="55" t="s">
        <v>193</v>
      </c>
      <c r="L23" s="55">
        <v>508</v>
      </c>
      <c r="M23" s="55">
        <v>0</v>
      </c>
      <c r="N23" s="55" t="s">
        <v>10</v>
      </c>
      <c r="O23" s="638"/>
      <c r="P23" s="669"/>
      <c r="Q23" s="630"/>
    </row>
    <row r="24" spans="1:17" x14ac:dyDescent="0.25">
      <c r="A24" s="9"/>
      <c r="B24" s="9"/>
      <c r="C24" s="9"/>
      <c r="D24" s="18">
        <f>SUM(D4:D23)</f>
        <v>1182878.6399999999</v>
      </c>
      <c r="E24" s="9"/>
      <c r="F24" s="9"/>
      <c r="G24" s="9"/>
      <c r="H24" s="9"/>
      <c r="I24" s="9"/>
      <c r="J24" s="9"/>
      <c r="K24" s="9"/>
      <c r="L24" s="9">
        <f>SUM(L4:L23)</f>
        <v>12022</v>
      </c>
      <c r="M24" s="9"/>
      <c r="N24" s="9"/>
      <c r="O24" s="24">
        <f>SUM(O4:O23)</f>
        <v>110362.57597799999</v>
      </c>
      <c r="P24" s="39">
        <f>O24/D24*100</f>
        <v>9.3299999041321779</v>
      </c>
      <c r="Q24" s="26">
        <f>D24/L24</f>
        <v>98.392833139244715</v>
      </c>
    </row>
    <row r="26" spans="1:17" x14ac:dyDescent="0.25">
      <c r="A26" s="138" t="s">
        <v>27</v>
      </c>
      <c r="B26" s="139" t="s">
        <v>328</v>
      </c>
      <c r="C26" s="9" t="s">
        <v>385</v>
      </c>
    </row>
    <row r="27" spans="1:17" x14ac:dyDescent="0.25">
      <c r="A27" s="140">
        <f>O24</f>
        <v>110362.57597799999</v>
      </c>
      <c r="B27" s="136"/>
      <c r="C27" s="39">
        <f>A27/D24*100</f>
        <v>9.3299999041321779</v>
      </c>
    </row>
  </sheetData>
  <sortState xmlns:xlrd2="http://schemas.microsoft.com/office/spreadsheetml/2017/richdata2" ref="A2:P22">
    <sortCondition ref="A1"/>
  </sortState>
  <mergeCells count="28">
    <mergeCell ref="P18:P19"/>
    <mergeCell ref="O18:O19"/>
    <mergeCell ref="Q16:Q17"/>
    <mergeCell ref="P16:P17"/>
    <mergeCell ref="A1:Q2"/>
    <mergeCell ref="Q4:Q6"/>
    <mergeCell ref="P4:P6"/>
    <mergeCell ref="O4:O6"/>
    <mergeCell ref="Q18:Q19"/>
    <mergeCell ref="Q9:Q10"/>
    <mergeCell ref="P9:P10"/>
    <mergeCell ref="O9:O10"/>
    <mergeCell ref="Q7:Q8"/>
    <mergeCell ref="P7:P8"/>
    <mergeCell ref="O7:O8"/>
    <mergeCell ref="O16:O17"/>
    <mergeCell ref="Q22:Q23"/>
    <mergeCell ref="P22:P23"/>
    <mergeCell ref="O22:O23"/>
    <mergeCell ref="Q20:Q21"/>
    <mergeCell ref="P20:P21"/>
    <mergeCell ref="O20:O21"/>
    <mergeCell ref="Q13:Q15"/>
    <mergeCell ref="P13:P15"/>
    <mergeCell ref="O13:O15"/>
    <mergeCell ref="Q11:Q12"/>
    <mergeCell ref="P11:P12"/>
    <mergeCell ref="O11:O1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00B0F0"/>
  </sheetPr>
  <dimension ref="A1:Q26"/>
  <sheetViews>
    <sheetView topLeftCell="H13" zoomScaleNormal="100" workbookViewId="0">
      <selection activeCell="R26" sqref="R26"/>
    </sheetView>
  </sheetViews>
  <sheetFormatPr baseColWidth="10" defaultRowHeight="15" x14ac:dyDescent="0.25"/>
  <cols>
    <col min="1" max="1" width="12.5703125" style="2" bestFit="1" customWidth="1"/>
    <col min="2" max="2" width="12.140625" style="2" bestFit="1" customWidth="1"/>
    <col min="3" max="3" width="14" style="2" bestFit="1" customWidth="1"/>
    <col min="4" max="4" width="14.5703125" style="2" bestFit="1" customWidth="1"/>
    <col min="5" max="5" width="41" style="2" bestFit="1" customWidth="1"/>
    <col min="6" max="7" width="43.140625" style="2" bestFit="1" customWidth="1"/>
    <col min="8" max="8" width="26" style="2" bestFit="1" customWidth="1"/>
    <col min="9" max="9" width="24.140625" style="2" bestFit="1" customWidth="1"/>
    <col min="10" max="10" width="7.5703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7" t="s">
        <v>387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2816266</v>
      </c>
      <c r="C4" s="4" t="s">
        <v>9</v>
      </c>
      <c r="D4" s="5">
        <v>0</v>
      </c>
      <c r="E4" s="4"/>
      <c r="F4" s="4" t="s">
        <v>76</v>
      </c>
      <c r="G4" s="4" t="s">
        <v>46</v>
      </c>
      <c r="H4" s="4" t="s">
        <v>190</v>
      </c>
      <c r="I4" s="4" t="s">
        <v>214</v>
      </c>
      <c r="J4" s="4" t="s">
        <v>215</v>
      </c>
      <c r="K4" s="4" t="s">
        <v>216</v>
      </c>
      <c r="L4" s="4">
        <v>680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17" ht="25.5" customHeight="1" x14ac:dyDescent="0.25">
      <c r="A5" s="10">
        <v>44470</v>
      </c>
      <c r="B5" s="11">
        <v>3028422</v>
      </c>
      <c r="C5" s="11" t="s">
        <v>50</v>
      </c>
      <c r="D5" s="125">
        <v>77146.47</v>
      </c>
      <c r="E5" s="11" t="s">
        <v>51</v>
      </c>
      <c r="F5" s="11" t="s">
        <v>46</v>
      </c>
      <c r="G5" s="11" t="s">
        <v>52</v>
      </c>
      <c r="H5" s="11" t="s">
        <v>190</v>
      </c>
      <c r="I5" s="11" t="s">
        <v>214</v>
      </c>
      <c r="J5" s="11" t="s">
        <v>215</v>
      </c>
      <c r="K5" s="11" t="s">
        <v>216</v>
      </c>
      <c r="L5" s="11">
        <v>450</v>
      </c>
      <c r="M5" s="11">
        <v>28440</v>
      </c>
      <c r="N5" s="11" t="s">
        <v>38</v>
      </c>
      <c r="O5" s="637">
        <v>7197.7656509999997</v>
      </c>
      <c r="P5" s="636">
        <f>O5/D5*100</f>
        <v>9.33</v>
      </c>
      <c r="Q5" s="630">
        <f>D5/(L5+L6)</f>
        <v>85.718299999999999</v>
      </c>
    </row>
    <row r="6" spans="1:17" ht="25.5" customHeight="1" x14ac:dyDescent="0.25">
      <c r="A6" s="10">
        <v>44473</v>
      </c>
      <c r="B6" s="11">
        <v>2816517</v>
      </c>
      <c r="C6" s="11" t="s">
        <v>9</v>
      </c>
      <c r="D6" s="125">
        <v>0</v>
      </c>
      <c r="E6" s="11"/>
      <c r="F6" s="11" t="s">
        <v>52</v>
      </c>
      <c r="G6" s="11" t="s">
        <v>46</v>
      </c>
      <c r="H6" s="11" t="s">
        <v>190</v>
      </c>
      <c r="I6" s="11" t="s">
        <v>214</v>
      </c>
      <c r="J6" s="11" t="s">
        <v>215</v>
      </c>
      <c r="K6" s="11" t="s">
        <v>216</v>
      </c>
      <c r="L6" s="11">
        <v>450</v>
      </c>
      <c r="M6" s="11">
        <v>0</v>
      </c>
      <c r="N6" s="11" t="s">
        <v>10</v>
      </c>
      <c r="O6" s="638"/>
      <c r="P6" s="636"/>
      <c r="Q6" s="630"/>
    </row>
    <row r="7" spans="1:17" ht="25.5" customHeight="1" x14ac:dyDescent="0.25">
      <c r="A7" s="16">
        <v>44474</v>
      </c>
      <c r="B7" s="17">
        <v>3029160</v>
      </c>
      <c r="C7" s="17" t="s">
        <v>50</v>
      </c>
      <c r="D7" s="128">
        <v>130397.65</v>
      </c>
      <c r="E7" s="17" t="s">
        <v>51</v>
      </c>
      <c r="F7" s="17" t="s">
        <v>46</v>
      </c>
      <c r="G7" s="17" t="s">
        <v>209</v>
      </c>
      <c r="H7" s="17" t="s">
        <v>190</v>
      </c>
      <c r="I7" s="17" t="s">
        <v>214</v>
      </c>
      <c r="J7" s="17" t="s">
        <v>215</v>
      </c>
      <c r="K7" s="17" t="s">
        <v>216</v>
      </c>
      <c r="L7" s="17">
        <v>820</v>
      </c>
      <c r="M7" s="17">
        <v>28520</v>
      </c>
      <c r="N7" s="17" t="s">
        <v>38</v>
      </c>
      <c r="O7" s="644">
        <v>22583.94</v>
      </c>
      <c r="P7" s="643">
        <f>O7/(D7+D9)*100</f>
        <v>9.3300005676343787</v>
      </c>
      <c r="Q7" s="628">
        <f>(D7+D9)/(L7+L8+L9)</f>
        <v>102.13384810126583</v>
      </c>
    </row>
    <row r="8" spans="1:17" ht="25.5" customHeight="1" x14ac:dyDescent="0.25">
      <c r="A8" s="16">
        <v>44475</v>
      </c>
      <c r="B8" s="17">
        <v>2816518</v>
      </c>
      <c r="C8" s="17" t="s">
        <v>9</v>
      </c>
      <c r="D8" s="128">
        <v>0</v>
      </c>
      <c r="E8" s="17"/>
      <c r="F8" s="17" t="s">
        <v>209</v>
      </c>
      <c r="G8" s="17" t="s">
        <v>74</v>
      </c>
      <c r="H8" s="17" t="s">
        <v>190</v>
      </c>
      <c r="I8" s="17" t="s">
        <v>214</v>
      </c>
      <c r="J8" s="17" t="s">
        <v>215</v>
      </c>
      <c r="K8" s="17" t="s">
        <v>216</v>
      </c>
      <c r="L8" s="17">
        <v>850</v>
      </c>
      <c r="M8" s="17">
        <v>0</v>
      </c>
      <c r="N8" s="17" t="s">
        <v>10</v>
      </c>
      <c r="O8" s="656"/>
      <c r="P8" s="643"/>
      <c r="Q8" s="628"/>
    </row>
    <row r="9" spans="1:17" ht="25.5" customHeight="1" x14ac:dyDescent="0.25">
      <c r="A9" s="16">
        <v>44476</v>
      </c>
      <c r="B9" s="17">
        <v>3030856</v>
      </c>
      <c r="C9" s="17" t="s">
        <v>50</v>
      </c>
      <c r="D9" s="128">
        <v>111659.57</v>
      </c>
      <c r="E9" s="17" t="s">
        <v>75</v>
      </c>
      <c r="F9" s="17" t="s">
        <v>74</v>
      </c>
      <c r="G9" s="17" t="s">
        <v>46</v>
      </c>
      <c r="H9" s="17" t="s">
        <v>190</v>
      </c>
      <c r="I9" s="17" t="s">
        <v>214</v>
      </c>
      <c r="J9" s="17" t="s">
        <v>215</v>
      </c>
      <c r="K9" s="17" t="s">
        <v>216</v>
      </c>
      <c r="L9" s="17">
        <v>700</v>
      </c>
      <c r="M9" s="17">
        <v>25940</v>
      </c>
      <c r="N9" s="17" t="s">
        <v>38</v>
      </c>
      <c r="O9" s="645"/>
      <c r="P9" s="643"/>
      <c r="Q9" s="628"/>
    </row>
    <row r="10" spans="1:17" ht="25.5" customHeight="1" x14ac:dyDescent="0.25">
      <c r="A10" s="12">
        <v>44481</v>
      </c>
      <c r="B10" s="13">
        <v>3032446</v>
      </c>
      <c r="C10" s="13" t="s">
        <v>50</v>
      </c>
      <c r="D10" s="127">
        <v>100103.03</v>
      </c>
      <c r="E10" s="13" t="s">
        <v>68</v>
      </c>
      <c r="F10" s="13" t="s">
        <v>46</v>
      </c>
      <c r="G10" s="13" t="s">
        <v>79</v>
      </c>
      <c r="H10" s="13" t="s">
        <v>190</v>
      </c>
      <c r="I10" s="13" t="s">
        <v>214</v>
      </c>
      <c r="J10" s="13" t="s">
        <v>215</v>
      </c>
      <c r="K10" s="13" t="s">
        <v>216</v>
      </c>
      <c r="L10" s="13">
        <v>672</v>
      </c>
      <c r="M10" s="13">
        <v>28580</v>
      </c>
      <c r="N10" s="13" t="s">
        <v>38</v>
      </c>
      <c r="O10" s="640">
        <v>9339.6126989999993</v>
      </c>
      <c r="P10" s="639">
        <f>O10/D10*100</f>
        <v>9.33</v>
      </c>
      <c r="Q10" s="634">
        <f>D10/(L10+L11)</f>
        <v>74.481421130952384</v>
      </c>
    </row>
    <row r="11" spans="1:17" ht="25.5" customHeight="1" x14ac:dyDescent="0.25">
      <c r="A11" s="12">
        <v>44483</v>
      </c>
      <c r="B11" s="13">
        <v>2816500</v>
      </c>
      <c r="C11" s="13" t="s">
        <v>9</v>
      </c>
      <c r="D11" s="127">
        <v>0</v>
      </c>
      <c r="E11" s="13"/>
      <c r="F11" s="13" t="s">
        <v>79</v>
      </c>
      <c r="G11" s="13" t="s">
        <v>46</v>
      </c>
      <c r="H11" s="13" t="s">
        <v>190</v>
      </c>
      <c r="I11" s="13" t="s">
        <v>214</v>
      </c>
      <c r="J11" s="13" t="s">
        <v>215</v>
      </c>
      <c r="K11" s="13" t="s">
        <v>216</v>
      </c>
      <c r="L11" s="13">
        <v>672</v>
      </c>
      <c r="M11" s="13">
        <v>0</v>
      </c>
      <c r="N11" s="13" t="s">
        <v>10</v>
      </c>
      <c r="O11" s="642"/>
      <c r="P11" s="639"/>
      <c r="Q11" s="634"/>
    </row>
    <row r="12" spans="1:17" ht="25.5" customHeight="1" x14ac:dyDescent="0.25">
      <c r="A12" s="14">
        <v>44484</v>
      </c>
      <c r="B12" s="15">
        <v>3034536</v>
      </c>
      <c r="C12" s="15" t="s">
        <v>50</v>
      </c>
      <c r="D12" s="129">
        <v>103124.6</v>
      </c>
      <c r="E12" s="15" t="s">
        <v>68</v>
      </c>
      <c r="F12" s="15" t="s">
        <v>46</v>
      </c>
      <c r="G12" s="15" t="s">
        <v>131</v>
      </c>
      <c r="H12" s="15" t="s">
        <v>190</v>
      </c>
      <c r="I12" s="15" t="s">
        <v>214</v>
      </c>
      <c r="J12" s="15" t="s">
        <v>215</v>
      </c>
      <c r="K12" s="15" t="s">
        <v>216</v>
      </c>
      <c r="L12" s="15">
        <v>672</v>
      </c>
      <c r="M12" s="15">
        <v>28820</v>
      </c>
      <c r="N12" s="15" t="s">
        <v>38</v>
      </c>
      <c r="O12" s="647">
        <v>9621.5251800000005</v>
      </c>
      <c r="P12" s="646">
        <f>O12/D12*100</f>
        <v>9.33</v>
      </c>
      <c r="Q12" s="632">
        <f>D12/(L12+L13)</f>
        <v>76.729613095238093</v>
      </c>
    </row>
    <row r="13" spans="1:17" ht="25.5" customHeight="1" x14ac:dyDescent="0.25">
      <c r="A13" s="14">
        <v>44486</v>
      </c>
      <c r="B13" s="15">
        <v>2816516</v>
      </c>
      <c r="C13" s="15" t="s">
        <v>9</v>
      </c>
      <c r="D13" s="129">
        <v>0</v>
      </c>
      <c r="E13" s="15"/>
      <c r="F13" s="15" t="s">
        <v>131</v>
      </c>
      <c r="G13" s="15" t="s">
        <v>46</v>
      </c>
      <c r="H13" s="15" t="s">
        <v>190</v>
      </c>
      <c r="I13" s="15" t="s">
        <v>214</v>
      </c>
      <c r="J13" s="15" t="s">
        <v>215</v>
      </c>
      <c r="K13" s="15" t="s">
        <v>216</v>
      </c>
      <c r="L13" s="15">
        <v>672</v>
      </c>
      <c r="M13" s="15">
        <v>0</v>
      </c>
      <c r="N13" s="15" t="s">
        <v>10</v>
      </c>
      <c r="O13" s="648"/>
      <c r="P13" s="646"/>
      <c r="Q13" s="632"/>
    </row>
    <row r="14" spans="1:17" ht="25.5" customHeight="1" x14ac:dyDescent="0.25">
      <c r="A14" s="10">
        <v>44487</v>
      </c>
      <c r="B14" s="11">
        <v>3035473</v>
      </c>
      <c r="C14" s="11" t="s">
        <v>50</v>
      </c>
      <c r="D14" s="125">
        <v>103053.03</v>
      </c>
      <c r="E14" s="11" t="s">
        <v>68</v>
      </c>
      <c r="F14" s="11" t="s">
        <v>46</v>
      </c>
      <c r="G14" s="11" t="s">
        <v>93</v>
      </c>
      <c r="H14" s="11" t="s">
        <v>190</v>
      </c>
      <c r="I14" s="11" t="s">
        <v>214</v>
      </c>
      <c r="J14" s="11" t="s">
        <v>215</v>
      </c>
      <c r="K14" s="11" t="s">
        <v>216</v>
      </c>
      <c r="L14" s="11">
        <v>660</v>
      </c>
      <c r="M14" s="11">
        <v>0</v>
      </c>
      <c r="N14" s="11" t="s">
        <v>38</v>
      </c>
      <c r="O14" s="637">
        <v>9614.8476989999999</v>
      </c>
      <c r="P14" s="636">
        <f>O14/D14*100</f>
        <v>9.33</v>
      </c>
      <c r="Q14" s="630">
        <f>D14/(L14+L15)</f>
        <v>78.070477272727274</v>
      </c>
    </row>
    <row r="15" spans="1:17" ht="25.5" customHeight="1" x14ac:dyDescent="0.25">
      <c r="A15" s="10">
        <v>44489</v>
      </c>
      <c r="B15" s="11">
        <v>2816585</v>
      </c>
      <c r="C15" s="11" t="s">
        <v>9</v>
      </c>
      <c r="D15" s="125">
        <v>0</v>
      </c>
      <c r="E15" s="11"/>
      <c r="F15" s="11" t="s">
        <v>93</v>
      </c>
      <c r="G15" s="11" t="s">
        <v>46</v>
      </c>
      <c r="H15" s="11" t="s">
        <v>190</v>
      </c>
      <c r="I15" s="11" t="s">
        <v>214</v>
      </c>
      <c r="J15" s="11" t="s">
        <v>215</v>
      </c>
      <c r="K15" s="11" t="s">
        <v>216</v>
      </c>
      <c r="L15" s="11">
        <v>660</v>
      </c>
      <c r="M15" s="11">
        <v>0</v>
      </c>
      <c r="N15" s="11" t="s">
        <v>10</v>
      </c>
      <c r="O15" s="638"/>
      <c r="P15" s="636"/>
      <c r="Q15" s="630"/>
    </row>
    <row r="16" spans="1:17" ht="25.5" customHeight="1" x14ac:dyDescent="0.25">
      <c r="A16" s="16">
        <v>44490</v>
      </c>
      <c r="B16" s="17">
        <v>3037576</v>
      </c>
      <c r="C16" s="17" t="s">
        <v>50</v>
      </c>
      <c r="D16" s="128">
        <v>101979.57</v>
      </c>
      <c r="E16" s="17" t="s">
        <v>68</v>
      </c>
      <c r="F16" s="17" t="s">
        <v>46</v>
      </c>
      <c r="G16" s="17" t="s">
        <v>194</v>
      </c>
      <c r="H16" s="17" t="s">
        <v>190</v>
      </c>
      <c r="I16" s="17" t="s">
        <v>214</v>
      </c>
      <c r="J16" s="17" t="s">
        <v>215</v>
      </c>
      <c r="K16" s="17" t="s">
        <v>216</v>
      </c>
      <c r="L16" s="17">
        <v>670</v>
      </c>
      <c r="M16" s="17">
        <v>23840</v>
      </c>
      <c r="N16" s="17" t="s">
        <v>38</v>
      </c>
      <c r="O16" s="644">
        <v>9514.6938809999992</v>
      </c>
      <c r="P16" s="643">
        <f>O16/D16*100</f>
        <v>9.3299999999999983</v>
      </c>
      <c r="Q16" s="628">
        <f>D16/(L16+L17)</f>
        <v>76.104156716417918</v>
      </c>
    </row>
    <row r="17" spans="1:17" ht="25.5" customHeight="1" x14ac:dyDescent="0.25">
      <c r="A17" s="16">
        <v>44491</v>
      </c>
      <c r="B17" s="17">
        <v>2816586</v>
      </c>
      <c r="C17" s="17" t="s">
        <v>9</v>
      </c>
      <c r="D17" s="128">
        <v>0</v>
      </c>
      <c r="E17" s="17"/>
      <c r="F17" s="17" t="s">
        <v>194</v>
      </c>
      <c r="G17" s="17" t="s">
        <v>46</v>
      </c>
      <c r="H17" s="17" t="s">
        <v>190</v>
      </c>
      <c r="I17" s="17" t="s">
        <v>214</v>
      </c>
      <c r="J17" s="17" t="s">
        <v>215</v>
      </c>
      <c r="K17" s="17" t="s">
        <v>216</v>
      </c>
      <c r="L17" s="17">
        <v>670</v>
      </c>
      <c r="M17" s="17">
        <v>0</v>
      </c>
      <c r="N17" s="17" t="s">
        <v>10</v>
      </c>
      <c r="O17" s="645"/>
      <c r="P17" s="643"/>
      <c r="Q17" s="628"/>
    </row>
    <row r="18" spans="1:17" ht="25.5" customHeight="1" x14ac:dyDescent="0.25">
      <c r="A18" s="12">
        <v>44492</v>
      </c>
      <c r="B18" s="13">
        <v>3038676</v>
      </c>
      <c r="C18" s="13" t="s">
        <v>50</v>
      </c>
      <c r="D18" s="127">
        <v>102871.98</v>
      </c>
      <c r="E18" s="13" t="s">
        <v>68</v>
      </c>
      <c r="F18" s="13" t="s">
        <v>46</v>
      </c>
      <c r="G18" s="13" t="s">
        <v>74</v>
      </c>
      <c r="H18" s="13" t="s">
        <v>190</v>
      </c>
      <c r="I18" s="13" t="s">
        <v>214</v>
      </c>
      <c r="J18" s="13" t="s">
        <v>215</v>
      </c>
      <c r="K18" s="13" t="s">
        <v>216</v>
      </c>
      <c r="L18" s="13">
        <v>700</v>
      </c>
      <c r="M18" s="13">
        <v>27040</v>
      </c>
      <c r="N18" s="13" t="s">
        <v>38</v>
      </c>
      <c r="O18" s="640">
        <v>20099.86</v>
      </c>
      <c r="P18" s="680">
        <f>O18/(D18+D19)*100</f>
        <v>9.3300005658383043</v>
      </c>
      <c r="Q18" s="634">
        <f>(D18+D19)/(L18+L19)</f>
        <v>153.88040714285714</v>
      </c>
    </row>
    <row r="19" spans="1:17" ht="25.5" customHeight="1" x14ac:dyDescent="0.25">
      <c r="A19" s="12">
        <v>44495</v>
      </c>
      <c r="B19" s="13">
        <v>3040066</v>
      </c>
      <c r="C19" s="13" t="s">
        <v>50</v>
      </c>
      <c r="D19" s="127">
        <v>112560.59</v>
      </c>
      <c r="E19" s="13" t="s">
        <v>95</v>
      </c>
      <c r="F19" s="13" t="s">
        <v>74</v>
      </c>
      <c r="G19" s="13" t="s">
        <v>46</v>
      </c>
      <c r="H19" s="13" t="s">
        <v>190</v>
      </c>
      <c r="I19" s="13" t="s">
        <v>214</v>
      </c>
      <c r="J19" s="13" t="s">
        <v>215</v>
      </c>
      <c r="K19" s="13" t="s">
        <v>216</v>
      </c>
      <c r="L19" s="13">
        <v>700</v>
      </c>
      <c r="M19" s="13">
        <v>28730</v>
      </c>
      <c r="N19" s="13" t="s">
        <v>38</v>
      </c>
      <c r="O19" s="642"/>
      <c r="P19" s="639"/>
      <c r="Q19" s="634"/>
    </row>
    <row r="20" spans="1:17" ht="25.5" customHeight="1" x14ac:dyDescent="0.25">
      <c r="A20" s="14">
        <v>44497</v>
      </c>
      <c r="B20" s="15">
        <v>3041369</v>
      </c>
      <c r="C20" s="15" t="s">
        <v>50</v>
      </c>
      <c r="D20" s="129">
        <v>102766.81</v>
      </c>
      <c r="E20" s="15" t="s">
        <v>68</v>
      </c>
      <c r="F20" s="15" t="s">
        <v>46</v>
      </c>
      <c r="G20" s="15" t="s">
        <v>208</v>
      </c>
      <c r="H20" s="15" t="s">
        <v>190</v>
      </c>
      <c r="I20" s="15" t="s">
        <v>214</v>
      </c>
      <c r="J20" s="15" t="s">
        <v>215</v>
      </c>
      <c r="K20" s="15" t="s">
        <v>216</v>
      </c>
      <c r="L20" s="15">
        <v>630</v>
      </c>
      <c r="M20" s="15">
        <v>28720</v>
      </c>
      <c r="N20" s="15" t="s">
        <v>38</v>
      </c>
      <c r="O20" s="647">
        <v>9588.1433730000008</v>
      </c>
      <c r="P20" s="646">
        <f>O20/D20*100</f>
        <v>9.33</v>
      </c>
      <c r="Q20" s="632">
        <f>D20/(L20+L21)</f>
        <v>81.560960317460314</v>
      </c>
    </row>
    <row r="21" spans="1:17" ht="25.5" customHeight="1" x14ac:dyDescent="0.25">
      <c r="A21" s="14">
        <v>44498</v>
      </c>
      <c r="B21" s="15">
        <v>2816643</v>
      </c>
      <c r="C21" s="15" t="s">
        <v>9</v>
      </c>
      <c r="D21" s="129">
        <v>0</v>
      </c>
      <c r="E21" s="15"/>
      <c r="F21" s="15" t="s">
        <v>208</v>
      </c>
      <c r="G21" s="15" t="s">
        <v>46</v>
      </c>
      <c r="H21" s="15" t="s">
        <v>190</v>
      </c>
      <c r="I21" s="15" t="s">
        <v>214</v>
      </c>
      <c r="J21" s="15" t="s">
        <v>215</v>
      </c>
      <c r="K21" s="15" t="s">
        <v>216</v>
      </c>
      <c r="L21" s="15">
        <v>630</v>
      </c>
      <c r="M21" s="15">
        <v>0</v>
      </c>
      <c r="N21" s="15" t="s">
        <v>10</v>
      </c>
      <c r="O21" s="648"/>
      <c r="P21" s="646"/>
      <c r="Q21" s="632"/>
    </row>
    <row r="22" spans="1:17" ht="25.5" customHeight="1" x14ac:dyDescent="0.25">
      <c r="A22" s="6">
        <v>44498</v>
      </c>
      <c r="B22" s="7">
        <v>3042049</v>
      </c>
      <c r="C22" s="7" t="s">
        <v>50</v>
      </c>
      <c r="D22" s="8">
        <v>101718.61</v>
      </c>
      <c r="E22" s="7" t="s">
        <v>68</v>
      </c>
      <c r="F22" s="7" t="s">
        <v>46</v>
      </c>
      <c r="G22" s="7" t="s">
        <v>217</v>
      </c>
      <c r="H22" s="7" t="s">
        <v>190</v>
      </c>
      <c r="I22" s="7" t="s">
        <v>214</v>
      </c>
      <c r="J22" s="7" t="s">
        <v>215</v>
      </c>
      <c r="K22" s="7" t="s">
        <v>216</v>
      </c>
      <c r="L22" s="7">
        <v>670</v>
      </c>
      <c r="M22" s="7">
        <v>28960</v>
      </c>
      <c r="N22" s="7" t="s">
        <v>38</v>
      </c>
      <c r="O22" s="8">
        <v>9490.346313</v>
      </c>
      <c r="P22" s="28">
        <f>O22/D22*100</f>
        <v>9.33</v>
      </c>
      <c r="Q22" s="24">
        <f>D22/L22</f>
        <v>151.81882089552238</v>
      </c>
    </row>
    <row r="23" spans="1:17" x14ac:dyDescent="0.25">
      <c r="A23" s="9"/>
      <c r="B23" s="9"/>
      <c r="C23" s="9"/>
      <c r="D23" s="18">
        <f>SUM(D4:D22)</f>
        <v>1147381.9099999999</v>
      </c>
      <c r="E23" s="9"/>
      <c r="F23" s="9"/>
      <c r="G23" s="9"/>
      <c r="H23" s="9"/>
      <c r="I23" s="9"/>
      <c r="J23" s="9"/>
      <c r="K23" s="9"/>
      <c r="L23" s="9">
        <f>SUM(L4:L22)</f>
        <v>12628</v>
      </c>
      <c r="M23" s="9"/>
      <c r="N23" s="9"/>
      <c r="O23" s="24">
        <f>SUM(O4:O22)</f>
        <v>107050.734796</v>
      </c>
      <c r="P23" s="28">
        <f>O23/D23*100</f>
        <v>9.330000225992757</v>
      </c>
      <c r="Q23" s="26">
        <f>D23/L23</f>
        <v>90.860144916059539</v>
      </c>
    </row>
    <row r="25" spans="1:17" x14ac:dyDescent="0.25">
      <c r="A25" s="138" t="s">
        <v>27</v>
      </c>
      <c r="B25" s="139" t="s">
        <v>328</v>
      </c>
      <c r="C25" s="9" t="s">
        <v>385</v>
      </c>
    </row>
    <row r="26" spans="1:17" x14ac:dyDescent="0.25">
      <c r="A26" s="140">
        <f>O23</f>
        <v>107050.734796</v>
      </c>
      <c r="B26" s="136"/>
      <c r="C26" s="39">
        <f>A26/D23*100</f>
        <v>9.330000225992757</v>
      </c>
    </row>
  </sheetData>
  <sortState xmlns:xlrd2="http://schemas.microsoft.com/office/spreadsheetml/2017/richdata2" ref="A2:P21">
    <sortCondition ref="A1"/>
  </sortState>
  <mergeCells count="25">
    <mergeCell ref="A1:Q2"/>
    <mergeCell ref="Q7:Q9"/>
    <mergeCell ref="P7:P9"/>
    <mergeCell ref="O7:O9"/>
    <mergeCell ref="Q5:Q6"/>
    <mergeCell ref="P5:P6"/>
    <mergeCell ref="O5:O6"/>
    <mergeCell ref="Q12:Q13"/>
    <mergeCell ref="P12:P13"/>
    <mergeCell ref="O12:O13"/>
    <mergeCell ref="Q10:Q11"/>
    <mergeCell ref="P10:P11"/>
    <mergeCell ref="O10:O11"/>
    <mergeCell ref="Q16:Q17"/>
    <mergeCell ref="P16:P17"/>
    <mergeCell ref="O16:O17"/>
    <mergeCell ref="Q14:Q15"/>
    <mergeCell ref="P14:P15"/>
    <mergeCell ref="O14:O15"/>
    <mergeCell ref="Q20:Q21"/>
    <mergeCell ref="P20:P21"/>
    <mergeCell ref="O20:O21"/>
    <mergeCell ref="Q18:Q19"/>
    <mergeCell ref="P18:P19"/>
    <mergeCell ref="O18:O1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00B0F0"/>
  </sheetPr>
  <dimension ref="A1:Q20"/>
  <sheetViews>
    <sheetView topLeftCell="H13" zoomScaleNormal="100" workbookViewId="0">
      <selection activeCell="S28" sqref="S28"/>
    </sheetView>
  </sheetViews>
  <sheetFormatPr baseColWidth="10" defaultRowHeight="15" x14ac:dyDescent="0.25"/>
  <cols>
    <col min="1" max="1" width="11.5703125" style="2" bestFit="1" customWidth="1"/>
    <col min="2" max="2" width="12.140625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22.7109375" style="2" bestFit="1" customWidth="1"/>
    <col min="8" max="8" width="19.140625" style="2" bestFit="1" customWidth="1"/>
    <col min="9" max="9" width="27.8554687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2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7" t="s">
        <v>384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2816280</v>
      </c>
      <c r="C4" s="11" t="s">
        <v>9</v>
      </c>
      <c r="D4" s="125">
        <v>0</v>
      </c>
      <c r="E4" s="11"/>
      <c r="F4" s="11" t="s">
        <v>52</v>
      </c>
      <c r="G4" s="11" t="s">
        <v>74</v>
      </c>
      <c r="H4" s="11" t="s">
        <v>218</v>
      </c>
      <c r="I4" s="11" t="s">
        <v>219</v>
      </c>
      <c r="J4" s="11" t="s">
        <v>220</v>
      </c>
      <c r="K4" s="11" t="s">
        <v>221</v>
      </c>
      <c r="L4" s="11">
        <v>930</v>
      </c>
      <c r="M4" s="11">
        <v>0</v>
      </c>
      <c r="N4" s="11" t="s">
        <v>10</v>
      </c>
      <c r="O4" s="637">
        <v>11220.808000000001</v>
      </c>
      <c r="P4" s="636">
        <f>O4/D5*100</f>
        <v>10</v>
      </c>
      <c r="Q4" s="630">
        <f>D5/(L4+L5)</f>
        <v>68.839312883435582</v>
      </c>
    </row>
    <row r="5" spans="1:17" ht="25.5" customHeight="1" x14ac:dyDescent="0.25">
      <c r="A5" s="10">
        <v>44473</v>
      </c>
      <c r="B5" s="11">
        <v>3028678</v>
      </c>
      <c r="C5" s="11" t="s">
        <v>50</v>
      </c>
      <c r="D5" s="125">
        <v>112208.08</v>
      </c>
      <c r="E5" s="11" t="s">
        <v>75</v>
      </c>
      <c r="F5" s="11" t="s">
        <v>74</v>
      </c>
      <c r="G5" s="11" t="s">
        <v>46</v>
      </c>
      <c r="H5" s="11" t="s">
        <v>218</v>
      </c>
      <c r="I5" s="11" t="s">
        <v>219</v>
      </c>
      <c r="J5" s="11" t="s">
        <v>220</v>
      </c>
      <c r="K5" s="11" t="s">
        <v>221</v>
      </c>
      <c r="L5" s="11">
        <v>700</v>
      </c>
      <c r="M5" s="11">
        <v>28630</v>
      </c>
      <c r="N5" s="11" t="s">
        <v>38</v>
      </c>
      <c r="O5" s="638"/>
      <c r="P5" s="636"/>
      <c r="Q5" s="630"/>
    </row>
    <row r="6" spans="1:17" ht="25.5" customHeight="1" x14ac:dyDescent="0.25">
      <c r="A6" s="16">
        <v>44474</v>
      </c>
      <c r="B6" s="17">
        <v>3030542</v>
      </c>
      <c r="C6" s="17" t="s">
        <v>50</v>
      </c>
      <c r="D6" s="128">
        <v>77146.47</v>
      </c>
      <c r="E6" s="17" t="s">
        <v>68</v>
      </c>
      <c r="F6" s="17" t="s">
        <v>46</v>
      </c>
      <c r="G6" s="17" t="s">
        <v>52</v>
      </c>
      <c r="H6" s="17" t="s">
        <v>218</v>
      </c>
      <c r="I6" s="17" t="s">
        <v>219</v>
      </c>
      <c r="J6" s="17" t="s">
        <v>220</v>
      </c>
      <c r="K6" s="17" t="s">
        <v>221</v>
      </c>
      <c r="L6" s="17">
        <v>450</v>
      </c>
      <c r="M6" s="17">
        <v>28540</v>
      </c>
      <c r="N6" s="17" t="s">
        <v>38</v>
      </c>
      <c r="O6" s="644">
        <v>18880.593000000001</v>
      </c>
      <c r="P6" s="643">
        <f>O6/(D6+D8)*100</f>
        <v>10</v>
      </c>
      <c r="Q6" s="628">
        <f>(D6+D8)/(L6+L7+L8)</f>
        <v>90.77208173076923</v>
      </c>
    </row>
    <row r="7" spans="1:17" ht="25.5" customHeight="1" x14ac:dyDescent="0.25">
      <c r="A7" s="16">
        <v>44477</v>
      </c>
      <c r="B7" s="17">
        <v>2816394</v>
      </c>
      <c r="C7" s="17" t="s">
        <v>9</v>
      </c>
      <c r="D7" s="128">
        <v>0</v>
      </c>
      <c r="E7" s="17"/>
      <c r="F7" s="17" t="s">
        <v>52</v>
      </c>
      <c r="G7" s="17" t="s">
        <v>74</v>
      </c>
      <c r="H7" s="17" t="s">
        <v>218</v>
      </c>
      <c r="I7" s="17" t="s">
        <v>219</v>
      </c>
      <c r="J7" s="17" t="s">
        <v>220</v>
      </c>
      <c r="K7" s="17" t="s">
        <v>221</v>
      </c>
      <c r="L7" s="17">
        <v>930</v>
      </c>
      <c r="M7" s="17">
        <v>0</v>
      </c>
      <c r="N7" s="17" t="s">
        <v>10</v>
      </c>
      <c r="O7" s="656"/>
      <c r="P7" s="643"/>
      <c r="Q7" s="628"/>
    </row>
    <row r="8" spans="1:17" ht="25.5" customHeight="1" x14ac:dyDescent="0.25">
      <c r="A8" s="16">
        <v>44481</v>
      </c>
      <c r="B8" s="17">
        <v>3032069</v>
      </c>
      <c r="C8" s="17" t="s">
        <v>50</v>
      </c>
      <c r="D8" s="128">
        <v>111659.46</v>
      </c>
      <c r="E8" s="17" t="s">
        <v>95</v>
      </c>
      <c r="F8" s="17" t="s">
        <v>74</v>
      </c>
      <c r="G8" s="17" t="s">
        <v>46</v>
      </c>
      <c r="H8" s="17" t="s">
        <v>218</v>
      </c>
      <c r="I8" s="17" t="s">
        <v>219</v>
      </c>
      <c r="J8" s="17" t="s">
        <v>220</v>
      </c>
      <c r="K8" s="17" t="s">
        <v>221</v>
      </c>
      <c r="L8" s="17">
        <v>700</v>
      </c>
      <c r="M8" s="17">
        <v>28510</v>
      </c>
      <c r="N8" s="17" t="s">
        <v>38</v>
      </c>
      <c r="O8" s="645"/>
      <c r="P8" s="643"/>
      <c r="Q8" s="628"/>
    </row>
    <row r="9" spans="1:17" ht="25.5" customHeight="1" x14ac:dyDescent="0.25">
      <c r="A9" s="12">
        <v>44483</v>
      </c>
      <c r="B9" s="13">
        <v>2816649</v>
      </c>
      <c r="C9" s="13" t="s">
        <v>9</v>
      </c>
      <c r="D9" s="270">
        <v>0</v>
      </c>
      <c r="E9" s="13"/>
      <c r="F9" s="13" t="s">
        <v>46</v>
      </c>
      <c r="G9" s="13" t="s">
        <v>74</v>
      </c>
      <c r="H9" s="13" t="s">
        <v>218</v>
      </c>
      <c r="I9" s="13" t="s">
        <v>219</v>
      </c>
      <c r="J9" s="13" t="s">
        <v>220</v>
      </c>
      <c r="K9" s="13" t="s">
        <v>221</v>
      </c>
      <c r="L9" s="13">
        <v>700</v>
      </c>
      <c r="M9" s="13">
        <v>0</v>
      </c>
      <c r="N9" s="13" t="s">
        <v>10</v>
      </c>
      <c r="O9" s="640">
        <f>D10*10/100</f>
        <v>13787.173999999999</v>
      </c>
      <c r="P9" s="672">
        <f>O9/D10*100</f>
        <v>10</v>
      </c>
      <c r="Q9" s="640">
        <f>D10/(L9+L10)</f>
        <v>98.479814285714284</v>
      </c>
    </row>
    <row r="10" spans="1:17" ht="25.5" customHeight="1" x14ac:dyDescent="0.25">
      <c r="A10" s="12">
        <v>44486</v>
      </c>
      <c r="B10" s="13">
        <v>3034994</v>
      </c>
      <c r="C10" s="13" t="s">
        <v>50</v>
      </c>
      <c r="D10" s="270">
        <v>137871.74</v>
      </c>
      <c r="E10" s="13"/>
      <c r="F10" s="13" t="s">
        <v>74</v>
      </c>
      <c r="G10" s="13" t="s">
        <v>46</v>
      </c>
      <c r="H10" s="13" t="s">
        <v>218</v>
      </c>
      <c r="I10" s="13" t="s">
        <v>219</v>
      </c>
      <c r="J10" s="13" t="s">
        <v>220</v>
      </c>
      <c r="K10" s="13" t="s">
        <v>221</v>
      </c>
      <c r="L10" s="13">
        <v>700</v>
      </c>
      <c r="M10" s="13">
        <v>28780</v>
      </c>
      <c r="N10" s="13" t="s">
        <v>38</v>
      </c>
      <c r="O10" s="642"/>
      <c r="P10" s="673"/>
      <c r="Q10" s="642"/>
    </row>
    <row r="11" spans="1:17" ht="25.5" customHeight="1" x14ac:dyDescent="0.25">
      <c r="A11" s="14">
        <v>44489</v>
      </c>
      <c r="B11" s="15">
        <v>2816648</v>
      </c>
      <c r="C11" s="15" t="s">
        <v>9</v>
      </c>
      <c r="D11" s="129">
        <v>0</v>
      </c>
      <c r="E11" s="15"/>
      <c r="F11" s="15" t="s">
        <v>46</v>
      </c>
      <c r="G11" s="15" t="s">
        <v>74</v>
      </c>
      <c r="H11" s="15" t="s">
        <v>218</v>
      </c>
      <c r="I11" s="15" t="s">
        <v>219</v>
      </c>
      <c r="J11" s="15" t="s">
        <v>220</v>
      </c>
      <c r="K11" s="15" t="s">
        <v>221</v>
      </c>
      <c r="L11" s="15">
        <v>700</v>
      </c>
      <c r="M11" s="15">
        <v>0</v>
      </c>
      <c r="N11" s="15" t="s">
        <v>10</v>
      </c>
      <c r="O11" s="647">
        <v>12239.272999999999</v>
      </c>
      <c r="P11" s="646">
        <f>O11/(D12+D13)*100</f>
        <v>10</v>
      </c>
      <c r="Q11" s="632">
        <f>(D12+D13)/(L11+L12+L13)</f>
        <v>86.803354609929073</v>
      </c>
    </row>
    <row r="12" spans="1:17" ht="25.5" customHeight="1" x14ac:dyDescent="0.25">
      <c r="A12" s="14">
        <v>44490</v>
      </c>
      <c r="B12" s="15">
        <v>3037603</v>
      </c>
      <c r="C12" s="15" t="s">
        <v>50</v>
      </c>
      <c r="D12" s="129">
        <v>10733.26</v>
      </c>
      <c r="E12" s="15" t="s">
        <v>95</v>
      </c>
      <c r="F12" s="15" t="s">
        <v>74</v>
      </c>
      <c r="G12" s="15" t="s">
        <v>74</v>
      </c>
      <c r="H12" s="15" t="s">
        <v>218</v>
      </c>
      <c r="I12" s="15" t="s">
        <v>219</v>
      </c>
      <c r="J12" s="15" t="s">
        <v>220</v>
      </c>
      <c r="K12" s="15" t="s">
        <v>221</v>
      </c>
      <c r="L12" s="15">
        <v>10</v>
      </c>
      <c r="M12" s="15">
        <v>22990</v>
      </c>
      <c r="N12" s="15" t="s">
        <v>38</v>
      </c>
      <c r="O12" s="657"/>
      <c r="P12" s="646"/>
      <c r="Q12" s="632"/>
    </row>
    <row r="13" spans="1:17" ht="25.5" customHeight="1" x14ac:dyDescent="0.25">
      <c r="A13" s="14">
        <v>44491</v>
      </c>
      <c r="B13" s="15">
        <v>3038447</v>
      </c>
      <c r="C13" s="15" t="s">
        <v>50</v>
      </c>
      <c r="D13" s="129">
        <v>111659.47</v>
      </c>
      <c r="E13" s="15" t="s">
        <v>95</v>
      </c>
      <c r="F13" s="15" t="s">
        <v>74</v>
      </c>
      <c r="G13" s="15" t="s">
        <v>46</v>
      </c>
      <c r="H13" s="15" t="s">
        <v>218</v>
      </c>
      <c r="I13" s="15" t="s">
        <v>219</v>
      </c>
      <c r="J13" s="15" t="s">
        <v>220</v>
      </c>
      <c r="K13" s="15" t="s">
        <v>221</v>
      </c>
      <c r="L13" s="15">
        <v>700</v>
      </c>
      <c r="M13" s="15">
        <v>27330</v>
      </c>
      <c r="N13" s="15" t="s">
        <v>38</v>
      </c>
      <c r="O13" s="648"/>
      <c r="P13" s="646"/>
      <c r="Q13" s="632"/>
    </row>
    <row r="14" spans="1:17" ht="25.5" customHeight="1" x14ac:dyDescent="0.25">
      <c r="A14" s="10">
        <v>44495</v>
      </c>
      <c r="B14" s="11">
        <v>3039637</v>
      </c>
      <c r="C14" s="11" t="s">
        <v>50</v>
      </c>
      <c r="D14" s="125">
        <v>77146.47</v>
      </c>
      <c r="E14" s="11" t="s">
        <v>68</v>
      </c>
      <c r="F14" s="11" t="s">
        <v>46</v>
      </c>
      <c r="G14" s="11" t="s">
        <v>52</v>
      </c>
      <c r="H14" s="11" t="s">
        <v>218</v>
      </c>
      <c r="I14" s="11" t="s">
        <v>219</v>
      </c>
      <c r="J14" s="11" t="s">
        <v>220</v>
      </c>
      <c r="K14" s="11" t="s">
        <v>221</v>
      </c>
      <c r="L14" s="11">
        <v>450</v>
      </c>
      <c r="M14" s="11">
        <v>28200</v>
      </c>
      <c r="N14" s="11" t="s">
        <v>38</v>
      </c>
      <c r="O14" s="637">
        <v>12774.861000000001</v>
      </c>
      <c r="P14" s="636">
        <f>O14/(D14+D16)*100</f>
        <v>10</v>
      </c>
      <c r="Q14" s="630">
        <f>(D14+D16)/(L14+L15+L16)</f>
        <v>77.189492447129908</v>
      </c>
    </row>
    <row r="15" spans="1:17" ht="25.5" customHeight="1" x14ac:dyDescent="0.25">
      <c r="A15" s="10">
        <v>44498</v>
      </c>
      <c r="B15" s="11">
        <v>2816647</v>
      </c>
      <c r="C15" s="11" t="s">
        <v>9</v>
      </c>
      <c r="D15" s="125">
        <v>0</v>
      </c>
      <c r="E15" s="11"/>
      <c r="F15" s="11" t="s">
        <v>52</v>
      </c>
      <c r="G15" s="11" t="s">
        <v>74</v>
      </c>
      <c r="H15" s="11" t="s">
        <v>218</v>
      </c>
      <c r="I15" s="11" t="s">
        <v>219</v>
      </c>
      <c r="J15" s="11" t="s">
        <v>220</v>
      </c>
      <c r="K15" s="11" t="s">
        <v>221</v>
      </c>
      <c r="L15" s="11">
        <v>930</v>
      </c>
      <c r="M15" s="11">
        <v>0</v>
      </c>
      <c r="N15" s="11" t="s">
        <v>10</v>
      </c>
      <c r="O15" s="650"/>
      <c r="P15" s="636"/>
      <c r="Q15" s="630"/>
    </row>
    <row r="16" spans="1:17" ht="25.5" customHeight="1" x14ac:dyDescent="0.25">
      <c r="A16" s="54">
        <v>44498</v>
      </c>
      <c r="B16" s="55">
        <v>3042389</v>
      </c>
      <c r="C16" s="55" t="s">
        <v>50</v>
      </c>
      <c r="D16" s="131">
        <v>50602.14</v>
      </c>
      <c r="E16" s="55" t="s">
        <v>95</v>
      </c>
      <c r="F16" s="55" t="s">
        <v>74</v>
      </c>
      <c r="G16" s="55" t="s">
        <v>222</v>
      </c>
      <c r="H16" s="55" t="s">
        <v>218</v>
      </c>
      <c r="I16" s="55" t="s">
        <v>219</v>
      </c>
      <c r="J16" s="55" t="s">
        <v>220</v>
      </c>
      <c r="K16" s="55" t="s">
        <v>221</v>
      </c>
      <c r="L16" s="55">
        <v>275</v>
      </c>
      <c r="M16" s="55">
        <v>28920</v>
      </c>
      <c r="N16" s="55" t="s">
        <v>38</v>
      </c>
      <c r="O16" s="638"/>
      <c r="P16" s="636"/>
      <c r="Q16" s="630"/>
    </row>
    <row r="17" spans="1:17" x14ac:dyDescent="0.25">
      <c r="A17" s="9"/>
      <c r="B17" s="9"/>
      <c r="C17" s="9"/>
      <c r="D17" s="18">
        <f>SUM(D4:D16)</f>
        <v>689027.09</v>
      </c>
      <c r="E17" s="9"/>
      <c r="F17" s="9"/>
      <c r="G17" s="9"/>
      <c r="H17" s="9"/>
      <c r="I17" s="9"/>
      <c r="J17" s="9"/>
      <c r="K17" s="9"/>
      <c r="L17" s="9">
        <f>SUM(L4:L16)</f>
        <v>8175</v>
      </c>
      <c r="M17" s="9"/>
      <c r="N17" s="9"/>
      <c r="O17" s="24">
        <f>SUM(O4:O16)</f>
        <v>68902.709000000003</v>
      </c>
      <c r="P17" s="28">
        <f>O17/D17*100</f>
        <v>10</v>
      </c>
      <c r="Q17" s="26">
        <f>D17/L17</f>
        <v>84.284659327217128</v>
      </c>
    </row>
    <row r="19" spans="1:17" x14ac:dyDescent="0.25">
      <c r="A19" s="138" t="s">
        <v>27</v>
      </c>
      <c r="B19" s="139" t="s">
        <v>328</v>
      </c>
      <c r="C19" s="9" t="s">
        <v>385</v>
      </c>
    </row>
    <row r="20" spans="1:17" x14ac:dyDescent="0.25">
      <c r="A20" s="140">
        <f>O17</f>
        <v>68902.709000000003</v>
      </c>
      <c r="B20" s="136"/>
      <c r="C20" s="39">
        <f>A20/D17*100</f>
        <v>10</v>
      </c>
    </row>
  </sheetData>
  <sortState xmlns:xlrd2="http://schemas.microsoft.com/office/spreadsheetml/2017/richdata2" ref="A2:P15">
    <sortCondition ref="A1"/>
  </sortState>
  <mergeCells count="16">
    <mergeCell ref="Q9:Q10"/>
    <mergeCell ref="O9:O10"/>
    <mergeCell ref="P9:P10"/>
    <mergeCell ref="A1:Q2"/>
    <mergeCell ref="Q6:Q8"/>
    <mergeCell ref="P6:P8"/>
    <mergeCell ref="O6:O8"/>
    <mergeCell ref="Q4:Q5"/>
    <mergeCell ref="P4:P5"/>
    <mergeCell ref="O4:O5"/>
    <mergeCell ref="Q14:Q16"/>
    <mergeCell ref="P14:P16"/>
    <mergeCell ref="O14:O16"/>
    <mergeCell ref="Q11:Q13"/>
    <mergeCell ref="P11:P13"/>
    <mergeCell ref="O11:O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36"/>
  <sheetViews>
    <sheetView topLeftCell="A22" zoomScaleNormal="100" workbookViewId="0">
      <selection activeCell="D19" sqref="D19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42578125" style="2" bestFit="1" customWidth="1"/>
    <col min="5" max="5" width="41" style="2" bestFit="1" customWidth="1"/>
    <col min="6" max="7" width="38.140625" style="2" bestFit="1" customWidth="1"/>
    <col min="8" max="8" width="20.140625" style="2" bestFit="1" customWidth="1"/>
    <col min="9" max="9" width="22.42578125" style="2" bestFit="1" customWidth="1"/>
    <col min="10" max="10" width="8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7" t="s">
        <v>342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2010625060</v>
      </c>
      <c r="C4" s="11" t="s">
        <v>0</v>
      </c>
      <c r="D4" s="20">
        <v>143875.16</v>
      </c>
      <c r="E4" s="11" t="s">
        <v>107</v>
      </c>
      <c r="F4" s="11" t="s">
        <v>2</v>
      </c>
      <c r="G4" s="11" t="s">
        <v>3</v>
      </c>
      <c r="H4" s="11" t="s">
        <v>97</v>
      </c>
      <c r="I4" s="11" t="s">
        <v>104</v>
      </c>
      <c r="J4" s="11" t="s">
        <v>105</v>
      </c>
      <c r="K4" s="11" t="s">
        <v>106</v>
      </c>
      <c r="L4" s="11">
        <v>740</v>
      </c>
      <c r="M4" s="60">
        <v>34890</v>
      </c>
      <c r="N4" s="60" t="s">
        <v>8</v>
      </c>
      <c r="O4" s="630">
        <v>50392.15</v>
      </c>
      <c r="P4" s="631">
        <f>O4/(D4+D5)*100</f>
        <v>30.699998330732157</v>
      </c>
      <c r="Q4" s="630">
        <f>(D4+D5)/(L4+L5+L6)</f>
        <v>110.90798648648649</v>
      </c>
    </row>
    <row r="5" spans="1:17" ht="25.5" customHeight="1" x14ac:dyDescent="0.25">
      <c r="A5" s="10">
        <v>44470</v>
      </c>
      <c r="B5" s="11" t="s">
        <v>102</v>
      </c>
      <c r="C5" s="11" t="s">
        <v>0</v>
      </c>
      <c r="D5" s="20">
        <v>20268.66</v>
      </c>
      <c r="E5" s="11" t="s">
        <v>103</v>
      </c>
      <c r="F5" s="11" t="s">
        <v>2</v>
      </c>
      <c r="G5" s="11" t="s">
        <v>3</v>
      </c>
      <c r="H5" s="11" t="s">
        <v>97</v>
      </c>
      <c r="I5" s="11" t="s">
        <v>104</v>
      </c>
      <c r="J5" s="11" t="s">
        <v>105</v>
      </c>
      <c r="K5" s="11" t="s">
        <v>106</v>
      </c>
      <c r="L5" s="11">
        <v>0</v>
      </c>
      <c r="M5" s="60">
        <v>0</v>
      </c>
      <c r="N5" s="60" t="s">
        <v>8</v>
      </c>
      <c r="O5" s="630"/>
      <c r="P5" s="631"/>
      <c r="Q5" s="630"/>
    </row>
    <row r="6" spans="1:17" ht="25.5" customHeight="1" x14ac:dyDescent="0.25">
      <c r="A6" s="10">
        <v>44473</v>
      </c>
      <c r="B6" s="11">
        <v>2816841</v>
      </c>
      <c r="C6" s="11" t="s">
        <v>9</v>
      </c>
      <c r="D6" s="20">
        <v>0</v>
      </c>
      <c r="E6" s="11"/>
      <c r="F6" s="11" t="s">
        <v>3</v>
      </c>
      <c r="G6" s="11" t="s">
        <v>2</v>
      </c>
      <c r="H6" s="11" t="s">
        <v>97</v>
      </c>
      <c r="I6" s="11" t="s">
        <v>104</v>
      </c>
      <c r="J6" s="11" t="s">
        <v>105</v>
      </c>
      <c r="K6" s="11" t="s">
        <v>106</v>
      </c>
      <c r="L6" s="11">
        <v>740</v>
      </c>
      <c r="M6" s="60">
        <v>0</v>
      </c>
      <c r="N6" s="60" t="s">
        <v>10</v>
      </c>
      <c r="O6" s="630"/>
      <c r="P6" s="631"/>
      <c r="Q6" s="630"/>
    </row>
    <row r="7" spans="1:17" ht="25.5" customHeight="1" x14ac:dyDescent="0.25">
      <c r="A7" s="16">
        <v>44483</v>
      </c>
      <c r="B7" s="17">
        <v>2010656043</v>
      </c>
      <c r="C7" s="17" t="s">
        <v>0</v>
      </c>
      <c r="D7" s="21">
        <v>120413.48</v>
      </c>
      <c r="E7" s="17" t="s">
        <v>108</v>
      </c>
      <c r="F7" s="17" t="s">
        <v>2</v>
      </c>
      <c r="G7" s="17" t="s">
        <v>109</v>
      </c>
      <c r="H7" s="17" t="s">
        <v>97</v>
      </c>
      <c r="I7" s="17" t="s">
        <v>104</v>
      </c>
      <c r="J7" s="17" t="s">
        <v>105</v>
      </c>
      <c r="K7" s="17" t="s">
        <v>106</v>
      </c>
      <c r="L7" s="17">
        <v>606</v>
      </c>
      <c r="M7" s="61">
        <v>34810</v>
      </c>
      <c r="N7" s="61" t="s">
        <v>110</v>
      </c>
      <c r="O7" s="628">
        <v>36966.93836</v>
      </c>
      <c r="P7" s="629">
        <f>O7/D7*100</f>
        <v>30.7</v>
      </c>
      <c r="Q7" s="628">
        <f>D7/(L7+L8)</f>
        <v>99.351056105610553</v>
      </c>
    </row>
    <row r="8" spans="1:17" ht="25.5" customHeight="1" x14ac:dyDescent="0.25">
      <c r="A8" s="16">
        <v>44484</v>
      </c>
      <c r="B8" s="17">
        <v>2816783</v>
      </c>
      <c r="C8" s="17" t="s">
        <v>9</v>
      </c>
      <c r="D8" s="21">
        <v>0</v>
      </c>
      <c r="E8" s="17"/>
      <c r="F8" s="17" t="s">
        <v>109</v>
      </c>
      <c r="G8" s="17" t="s">
        <v>2</v>
      </c>
      <c r="H8" s="17" t="s">
        <v>97</v>
      </c>
      <c r="I8" s="17" t="s">
        <v>104</v>
      </c>
      <c r="J8" s="17" t="s">
        <v>105</v>
      </c>
      <c r="K8" s="17" t="s">
        <v>106</v>
      </c>
      <c r="L8" s="17">
        <v>606</v>
      </c>
      <c r="M8" s="61">
        <v>0</v>
      </c>
      <c r="N8" s="61" t="s">
        <v>10</v>
      </c>
      <c r="O8" s="628"/>
      <c r="P8" s="629"/>
      <c r="Q8" s="628"/>
    </row>
    <row r="9" spans="1:17" ht="25.5" customHeight="1" x14ac:dyDescent="0.25">
      <c r="A9" s="12">
        <v>44486</v>
      </c>
      <c r="B9" s="13">
        <v>2010656224</v>
      </c>
      <c r="C9" s="13" t="s">
        <v>0</v>
      </c>
      <c r="D9" s="22">
        <v>120413.48</v>
      </c>
      <c r="E9" s="13" t="s">
        <v>108</v>
      </c>
      <c r="F9" s="13" t="s">
        <v>2</v>
      </c>
      <c r="G9" s="13" t="s">
        <v>109</v>
      </c>
      <c r="H9" s="13" t="s">
        <v>97</v>
      </c>
      <c r="I9" s="13" t="s">
        <v>104</v>
      </c>
      <c r="J9" s="13" t="s">
        <v>105</v>
      </c>
      <c r="K9" s="13" t="s">
        <v>106</v>
      </c>
      <c r="L9" s="13">
        <v>606</v>
      </c>
      <c r="M9" s="62">
        <v>35070</v>
      </c>
      <c r="N9" s="62" t="s">
        <v>110</v>
      </c>
      <c r="O9" s="634">
        <v>43189.42</v>
      </c>
      <c r="P9" s="635">
        <f>O9/(D9+D10)*100</f>
        <v>30.700002146683296</v>
      </c>
      <c r="Q9" s="634">
        <f>(D9+D10)/(L9+L10+L11)</f>
        <v>116.07437293729372</v>
      </c>
    </row>
    <row r="10" spans="1:17" ht="25.5" customHeight="1" x14ac:dyDescent="0.25">
      <c r="A10" s="12">
        <v>44486</v>
      </c>
      <c r="B10" s="13" t="s">
        <v>111</v>
      </c>
      <c r="C10" s="13" t="s">
        <v>0</v>
      </c>
      <c r="D10" s="22">
        <v>20268.66</v>
      </c>
      <c r="E10" s="13" t="s">
        <v>103</v>
      </c>
      <c r="F10" s="13" t="s">
        <v>2</v>
      </c>
      <c r="G10" s="13" t="s">
        <v>109</v>
      </c>
      <c r="H10" s="13" t="s">
        <v>97</v>
      </c>
      <c r="I10" s="13" t="s">
        <v>104</v>
      </c>
      <c r="J10" s="13" t="s">
        <v>105</v>
      </c>
      <c r="K10" s="13" t="s">
        <v>106</v>
      </c>
      <c r="L10" s="13">
        <v>0</v>
      </c>
      <c r="M10" s="62">
        <v>0</v>
      </c>
      <c r="N10" s="62" t="s">
        <v>110</v>
      </c>
      <c r="O10" s="634"/>
      <c r="P10" s="635"/>
      <c r="Q10" s="634"/>
    </row>
    <row r="11" spans="1:17" ht="25.5" customHeight="1" x14ac:dyDescent="0.25">
      <c r="A11" s="12">
        <v>44488</v>
      </c>
      <c r="B11" s="13">
        <v>2816763</v>
      </c>
      <c r="C11" s="13" t="s">
        <v>9</v>
      </c>
      <c r="D11" s="22">
        <v>0</v>
      </c>
      <c r="E11" s="13"/>
      <c r="F11" s="13" t="s">
        <v>109</v>
      </c>
      <c r="G11" s="13" t="s">
        <v>2</v>
      </c>
      <c r="H11" s="13" t="s">
        <v>97</v>
      </c>
      <c r="I11" s="13" t="s">
        <v>104</v>
      </c>
      <c r="J11" s="13" t="s">
        <v>105</v>
      </c>
      <c r="K11" s="13" t="s">
        <v>106</v>
      </c>
      <c r="L11" s="13">
        <v>606</v>
      </c>
      <c r="M11" s="62">
        <v>0</v>
      </c>
      <c r="N11" s="62" t="s">
        <v>10</v>
      </c>
      <c r="O11" s="634"/>
      <c r="P11" s="635"/>
      <c r="Q11" s="634"/>
    </row>
    <row r="12" spans="1:17" ht="25.5" customHeight="1" x14ac:dyDescent="0.25">
      <c r="A12" s="14">
        <v>44489</v>
      </c>
      <c r="B12" s="15">
        <v>2010708362</v>
      </c>
      <c r="C12" s="15" t="s">
        <v>0</v>
      </c>
      <c r="D12" s="23">
        <v>143875.16</v>
      </c>
      <c r="E12" s="15" t="s">
        <v>107</v>
      </c>
      <c r="F12" s="15" t="s">
        <v>2</v>
      </c>
      <c r="G12" s="15" t="s">
        <v>3</v>
      </c>
      <c r="H12" s="15" t="s">
        <v>97</v>
      </c>
      <c r="I12" s="15" t="s">
        <v>104</v>
      </c>
      <c r="J12" s="15" t="s">
        <v>105</v>
      </c>
      <c r="K12" s="15" t="s">
        <v>106</v>
      </c>
      <c r="L12" s="15">
        <v>740</v>
      </c>
      <c r="M12" s="63">
        <v>35160</v>
      </c>
      <c r="N12" s="63" t="s">
        <v>8</v>
      </c>
      <c r="O12" s="632">
        <v>44169.674120000003</v>
      </c>
      <c r="P12" s="633">
        <f>O12/D12*100</f>
        <v>30.7</v>
      </c>
      <c r="Q12" s="632">
        <f>D12/(L12+L13)</f>
        <v>97.212945945945947</v>
      </c>
    </row>
    <row r="13" spans="1:17" ht="25.5" customHeight="1" x14ac:dyDescent="0.25">
      <c r="A13" s="14">
        <v>44490</v>
      </c>
      <c r="B13" s="15">
        <v>2816744</v>
      </c>
      <c r="C13" s="15" t="s">
        <v>9</v>
      </c>
      <c r="D13" s="23">
        <v>0</v>
      </c>
      <c r="E13" s="15"/>
      <c r="F13" s="15" t="s">
        <v>3</v>
      </c>
      <c r="G13" s="15" t="s">
        <v>2</v>
      </c>
      <c r="H13" s="15" t="s">
        <v>97</v>
      </c>
      <c r="I13" s="15" t="s">
        <v>104</v>
      </c>
      <c r="J13" s="15" t="s">
        <v>105</v>
      </c>
      <c r="K13" s="15" t="s">
        <v>106</v>
      </c>
      <c r="L13" s="15">
        <v>740</v>
      </c>
      <c r="M13" s="63">
        <v>0</v>
      </c>
      <c r="N13" s="63" t="s">
        <v>10</v>
      </c>
      <c r="O13" s="632"/>
      <c r="P13" s="633"/>
      <c r="Q13" s="632"/>
    </row>
    <row r="14" spans="1:17" ht="25.5" customHeight="1" x14ac:dyDescent="0.25">
      <c r="A14" s="10">
        <v>44492</v>
      </c>
      <c r="B14" s="11">
        <v>2010694253</v>
      </c>
      <c r="C14" s="11" t="s">
        <v>0</v>
      </c>
      <c r="D14" s="20">
        <v>120413.48</v>
      </c>
      <c r="E14" s="11" t="s">
        <v>112</v>
      </c>
      <c r="F14" s="11" t="s">
        <v>2</v>
      </c>
      <c r="G14" s="11" t="s">
        <v>109</v>
      </c>
      <c r="H14" s="11" t="s">
        <v>97</v>
      </c>
      <c r="I14" s="11" t="s">
        <v>104</v>
      </c>
      <c r="J14" s="11" t="s">
        <v>105</v>
      </c>
      <c r="K14" s="11" t="s">
        <v>106</v>
      </c>
      <c r="L14" s="11">
        <v>606</v>
      </c>
      <c r="M14" s="60">
        <v>35080</v>
      </c>
      <c r="N14" s="60" t="s">
        <v>110</v>
      </c>
      <c r="O14" s="630">
        <v>46300.66</v>
      </c>
      <c r="P14" s="631">
        <f>O14/(D14+D15)*100</f>
        <v>30.700002459943537</v>
      </c>
      <c r="Q14" s="630">
        <f>(D14+D15)/(L14+L15+L16)</f>
        <v>124.43603135313532</v>
      </c>
    </row>
    <row r="15" spans="1:17" ht="25.5" customHeight="1" x14ac:dyDescent="0.25">
      <c r="A15" s="10">
        <v>44492</v>
      </c>
      <c r="B15" s="11" t="s">
        <v>113</v>
      </c>
      <c r="C15" s="11" t="s">
        <v>0</v>
      </c>
      <c r="D15" s="20">
        <v>30402.99</v>
      </c>
      <c r="E15" s="11" t="s">
        <v>103</v>
      </c>
      <c r="F15" s="11" t="s">
        <v>2</v>
      </c>
      <c r="G15" s="11" t="s">
        <v>109</v>
      </c>
      <c r="H15" s="11" t="s">
        <v>97</v>
      </c>
      <c r="I15" s="11" t="s">
        <v>104</v>
      </c>
      <c r="J15" s="11" t="s">
        <v>105</v>
      </c>
      <c r="K15" s="11" t="s">
        <v>106</v>
      </c>
      <c r="L15" s="11">
        <v>0</v>
      </c>
      <c r="M15" s="60">
        <v>0</v>
      </c>
      <c r="N15" s="60" t="s">
        <v>110</v>
      </c>
      <c r="O15" s="630"/>
      <c r="P15" s="631"/>
      <c r="Q15" s="630"/>
    </row>
    <row r="16" spans="1:17" ht="25.5" customHeight="1" x14ac:dyDescent="0.25">
      <c r="A16" s="10">
        <v>44497</v>
      </c>
      <c r="B16" s="11">
        <v>2816709</v>
      </c>
      <c r="C16" s="11" t="s">
        <v>9</v>
      </c>
      <c r="D16" s="20">
        <v>0</v>
      </c>
      <c r="E16" s="11"/>
      <c r="F16" s="11" t="s">
        <v>109</v>
      </c>
      <c r="G16" s="11" t="s">
        <v>2</v>
      </c>
      <c r="H16" s="11" t="s">
        <v>97</v>
      </c>
      <c r="I16" s="11" t="s">
        <v>104</v>
      </c>
      <c r="J16" s="11" t="s">
        <v>105</v>
      </c>
      <c r="K16" s="11" t="s">
        <v>106</v>
      </c>
      <c r="L16" s="11">
        <v>606</v>
      </c>
      <c r="M16" s="60">
        <v>0</v>
      </c>
      <c r="N16" s="60" t="s">
        <v>10</v>
      </c>
      <c r="O16" s="630"/>
      <c r="P16" s="631"/>
      <c r="Q16" s="630"/>
    </row>
    <row r="17" spans="1:17" ht="25.5" customHeight="1" x14ac:dyDescent="0.25">
      <c r="A17" s="16">
        <v>44499</v>
      </c>
      <c r="B17" s="17">
        <v>2010715429</v>
      </c>
      <c r="C17" s="17" t="s">
        <v>0</v>
      </c>
      <c r="D17" s="21">
        <v>143875.16</v>
      </c>
      <c r="E17" s="17" t="s">
        <v>114</v>
      </c>
      <c r="F17" s="17" t="s">
        <v>2</v>
      </c>
      <c r="G17" s="17" t="s">
        <v>3</v>
      </c>
      <c r="H17" s="17" t="s">
        <v>97</v>
      </c>
      <c r="I17" s="17" t="s">
        <v>104</v>
      </c>
      <c r="J17" s="17" t="s">
        <v>105</v>
      </c>
      <c r="K17" s="17" t="s">
        <v>106</v>
      </c>
      <c r="L17" s="17">
        <v>740</v>
      </c>
      <c r="M17" s="61">
        <v>35010</v>
      </c>
      <c r="N17" s="61" t="s">
        <v>38</v>
      </c>
      <c r="O17" s="628">
        <v>44169.674120000003</v>
      </c>
      <c r="P17" s="629">
        <f>O17/D17*100</f>
        <v>30.7</v>
      </c>
      <c r="Q17" s="628">
        <f>D17/(L17+L18)</f>
        <v>97.212945945945947</v>
      </c>
    </row>
    <row r="18" spans="1:17" ht="25.5" customHeight="1" x14ac:dyDescent="0.25">
      <c r="A18" s="57">
        <v>44500</v>
      </c>
      <c r="B18" s="58">
        <v>2816693</v>
      </c>
      <c r="C18" s="58" t="s">
        <v>9</v>
      </c>
      <c r="D18" s="59">
        <v>0</v>
      </c>
      <c r="E18" s="58"/>
      <c r="F18" s="58" t="s">
        <v>3</v>
      </c>
      <c r="G18" s="58" t="s">
        <v>2</v>
      </c>
      <c r="H18" s="58" t="s">
        <v>97</v>
      </c>
      <c r="I18" s="58" t="s">
        <v>104</v>
      </c>
      <c r="J18" s="58" t="s">
        <v>105</v>
      </c>
      <c r="K18" s="58" t="s">
        <v>106</v>
      </c>
      <c r="L18" s="58">
        <v>740</v>
      </c>
      <c r="M18" s="61">
        <v>0</v>
      </c>
      <c r="N18" s="61" t="s">
        <v>10</v>
      </c>
      <c r="O18" s="628"/>
      <c r="P18" s="629"/>
      <c r="Q18" s="628"/>
    </row>
    <row r="19" spans="1:17" x14ac:dyDescent="0.25">
      <c r="A19" s="9"/>
      <c r="B19" s="9"/>
      <c r="C19" s="9"/>
      <c r="D19" s="18">
        <f>SUM(D4:D18)</f>
        <v>863806.23</v>
      </c>
      <c r="E19" s="9"/>
      <c r="F19" s="9"/>
      <c r="G19" s="9"/>
      <c r="H19" s="9"/>
      <c r="I19" s="9"/>
      <c r="J19" s="9"/>
      <c r="K19" s="9"/>
      <c r="L19" s="9">
        <f>SUM(L4:L18)</f>
        <v>8076</v>
      </c>
      <c r="M19" s="9"/>
      <c r="N19" s="9"/>
      <c r="O19" s="24">
        <f>SUM(O4:O18)</f>
        <v>265188.51659999997</v>
      </c>
      <c r="P19" s="64">
        <f>O19/D19*100</f>
        <v>30.700000461909145</v>
      </c>
      <c r="Q19" s="26">
        <f>D19/L19</f>
        <v>106.959661961367</v>
      </c>
    </row>
    <row r="21" spans="1:17" ht="15" customHeight="1" x14ac:dyDescent="0.25">
      <c r="A21" s="36" t="s">
        <v>322</v>
      </c>
      <c r="B21" s="36" t="s">
        <v>323</v>
      </c>
      <c r="C21" s="36" t="s">
        <v>324</v>
      </c>
      <c r="D21" s="36" t="s">
        <v>325</v>
      </c>
      <c r="F21" s="37" t="s">
        <v>326</v>
      </c>
      <c r="G21" s="37" t="s">
        <v>327</v>
      </c>
      <c r="H21" s="37" t="s">
        <v>328</v>
      </c>
      <c r="I21" s="38"/>
    </row>
    <row r="22" spans="1:17" x14ac:dyDescent="0.25">
      <c r="A22" s="39">
        <f>D19/L19</f>
        <v>106.959661961367</v>
      </c>
      <c r="B22" s="40">
        <f>COMBUSTIBLE!C19</f>
        <v>2604.6660000000002</v>
      </c>
      <c r="C22" s="41">
        <f>B22/L19*100</f>
        <v>32.251931649331354</v>
      </c>
      <c r="D22" s="42">
        <f>B28/B22</f>
        <v>67.758834809898843</v>
      </c>
      <c r="F22" s="43">
        <f>+B28/D19</f>
        <v>0.20431565216768582</v>
      </c>
      <c r="G22" s="43">
        <f>B33/D19</f>
        <v>0.26210680079560378</v>
      </c>
      <c r="H22" s="44"/>
      <c r="I22" s="38"/>
    </row>
    <row r="23" spans="1:17" x14ac:dyDescent="0.25">
      <c r="F23" s="38"/>
      <c r="G23" s="38"/>
      <c r="H23" s="38"/>
      <c r="I23" s="38"/>
    </row>
    <row r="24" spans="1:17" x14ac:dyDescent="0.25">
      <c r="A24" s="36"/>
      <c r="B24" s="36" t="s">
        <v>329</v>
      </c>
      <c r="C24" s="36" t="s">
        <v>330</v>
      </c>
      <c r="D24" s="36" t="s">
        <v>106</v>
      </c>
      <c r="K24" s="25"/>
      <c r="L24" s="29"/>
      <c r="M24" s="25"/>
      <c r="O24" s="2"/>
      <c r="P24" s="2"/>
      <c r="Q24" s="2"/>
    </row>
    <row r="25" spans="1:17" x14ac:dyDescent="0.25">
      <c r="A25" s="7" t="s">
        <v>331</v>
      </c>
      <c r="B25" s="24">
        <f>D19</f>
        <v>863806.23</v>
      </c>
      <c r="C25" s="45">
        <f>B26</f>
        <v>265188.51659999997</v>
      </c>
      <c r="D25" s="46">
        <f>C25/B25</f>
        <v>0.30700000461909144</v>
      </c>
      <c r="K25" s="25"/>
      <c r="L25" s="29"/>
      <c r="M25" s="25"/>
      <c r="O25" s="2"/>
      <c r="P25" s="2"/>
      <c r="Q25" s="2"/>
    </row>
    <row r="26" spans="1:17" x14ac:dyDescent="0.25">
      <c r="A26" s="47" t="s">
        <v>27</v>
      </c>
      <c r="B26" s="24">
        <f>O19</f>
        <v>265188.51659999997</v>
      </c>
      <c r="C26" s="9"/>
    </row>
    <row r="27" spans="1:17" x14ac:dyDescent="0.25">
      <c r="A27" s="48" t="s">
        <v>332</v>
      </c>
      <c r="B27" s="49">
        <f>(10*(78578.313+12454.55))/(150000+80000)*L19</f>
        <v>31964.408764695654</v>
      </c>
      <c r="C27" s="49">
        <f>(12*(78578.313+12454.55))/(150000+80000)*L19</f>
        <v>38357.290517634778</v>
      </c>
    </row>
    <row r="28" spans="1:17" x14ac:dyDescent="0.25">
      <c r="A28" s="48" t="s">
        <v>333</v>
      </c>
      <c r="B28" s="24">
        <f>COMBUSTIBLE!J19</f>
        <v>176489.13322896001</v>
      </c>
      <c r="C28" s="9"/>
    </row>
    <row r="29" spans="1:17" x14ac:dyDescent="0.25">
      <c r="A29" s="48" t="s">
        <v>334</v>
      </c>
      <c r="B29" s="24"/>
      <c r="C29" s="9"/>
    </row>
    <row r="30" spans="1:17" x14ac:dyDescent="0.25">
      <c r="A30" s="48" t="s">
        <v>335</v>
      </c>
      <c r="B30" s="24">
        <f>'PATENTE PROVINCIAL'!N10</f>
        <v>3048.8</v>
      </c>
      <c r="C30" s="42"/>
    </row>
    <row r="31" spans="1:17" x14ac:dyDescent="0.25">
      <c r="A31" s="48" t="s">
        <v>336</v>
      </c>
      <c r="B31" s="24">
        <f>'PATENTE MUNICIPAL'!I10</f>
        <v>4265.7336666666661</v>
      </c>
      <c r="C31" s="42">
        <f>'PATENTE MUNICIPAL'!I46</f>
        <v>20.833333333333332</v>
      </c>
    </row>
    <row r="32" spans="1:17" x14ac:dyDescent="0.25">
      <c r="A32" s="48" t="s">
        <v>337</v>
      </c>
      <c r="B32" s="24">
        <f>SEGURO!K10</f>
        <v>9151.7461663504109</v>
      </c>
      <c r="C32" s="42">
        <f>SEGURO!K50</f>
        <v>261.09831688804553</v>
      </c>
    </row>
    <row r="33" spans="1:4" x14ac:dyDescent="0.25">
      <c r="A33" s="48" t="s">
        <v>338</v>
      </c>
      <c r="B33" s="24">
        <f>L19*SUELDOS!U25</f>
        <v>226409.48745261147</v>
      </c>
      <c r="C33" s="42"/>
      <c r="D33" s="50">
        <f>B33/L19</f>
        <v>28.034854810873139</v>
      </c>
    </row>
    <row r="34" spans="1:4" x14ac:dyDescent="0.25">
      <c r="A34" s="48" t="s">
        <v>339</v>
      </c>
      <c r="B34" s="24">
        <f>'GASTOS TRACTOR'!H44</f>
        <v>31646.703800000003</v>
      </c>
      <c r="C34" s="42">
        <f>'GASTOS SEMI'!H136</f>
        <v>3532.04</v>
      </c>
    </row>
    <row r="35" spans="1:4" x14ac:dyDescent="0.25">
      <c r="A35" s="48" t="s">
        <v>340</v>
      </c>
      <c r="B35" s="24">
        <f>SUM(B27:B34)</f>
        <v>482976.01307928422</v>
      </c>
      <c r="C35" s="51">
        <f>SUM(C27:C34)</f>
        <v>42171.262167856163</v>
      </c>
    </row>
    <row r="36" spans="1:4" x14ac:dyDescent="0.25">
      <c r="A36" s="36" t="s">
        <v>341</v>
      </c>
      <c r="B36" s="52">
        <f>B25-B26-B35</f>
        <v>115641.70032071578</v>
      </c>
      <c r="C36" s="53">
        <f>C25-C26-C35</f>
        <v>223017.25443214382</v>
      </c>
      <c r="D36" s="52">
        <f>+B36+C36</f>
        <v>338658.9547528596</v>
      </c>
    </row>
  </sheetData>
  <sortState xmlns:xlrd2="http://schemas.microsoft.com/office/spreadsheetml/2017/richdata2" ref="A2:P17">
    <sortCondition ref="A1"/>
  </sortState>
  <mergeCells count="19">
    <mergeCell ref="Q17:Q18"/>
    <mergeCell ref="P17:P18"/>
    <mergeCell ref="O17:O18"/>
    <mergeCell ref="Q14:Q16"/>
    <mergeCell ref="P14:P16"/>
    <mergeCell ref="O14:O16"/>
    <mergeCell ref="Q12:Q13"/>
    <mergeCell ref="P12:P13"/>
    <mergeCell ref="O12:O13"/>
    <mergeCell ref="Q9:Q11"/>
    <mergeCell ref="P9:P11"/>
    <mergeCell ref="O9:O11"/>
    <mergeCell ref="A1:Q2"/>
    <mergeCell ref="Q7:Q8"/>
    <mergeCell ref="P7:P8"/>
    <mergeCell ref="O7:O8"/>
    <mergeCell ref="Q4:Q6"/>
    <mergeCell ref="P4:P6"/>
    <mergeCell ref="O4:O6"/>
  </mergeCells>
  <conditionalFormatting sqref="C22">
    <cfRule type="cellIs" dxfId="100" priority="1" operator="lessThan">
      <formula>29</formula>
    </cfRule>
    <cfRule type="cellIs" dxfId="99" priority="2" operator="greaterThan">
      <formula>38</formula>
    </cfRule>
    <cfRule type="cellIs" dxfId="98" priority="3" operator="lessThan">
      <formula>38</formula>
    </cfRule>
    <cfRule type="cellIs" dxfId="97" priority="4" operator="lessThan">
      <formula>38</formula>
    </cfRule>
    <cfRule type="cellIs" dxfId="96" priority="5" operator="greaterThan">
      <formula>40</formula>
    </cfRule>
  </conditionalFormatting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00B0F0"/>
  </sheetPr>
  <dimension ref="A1:Q29"/>
  <sheetViews>
    <sheetView topLeftCell="G16" zoomScaleNormal="100" workbookViewId="0">
      <selection activeCell="P27" sqref="P27"/>
    </sheetView>
  </sheetViews>
  <sheetFormatPr baseColWidth="10" defaultRowHeight="15" x14ac:dyDescent="0.25"/>
  <cols>
    <col min="1" max="1" width="11.5703125" style="2" bestFit="1" customWidth="1"/>
    <col min="2" max="2" width="12.140625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26.5703125" style="2" bestFit="1" customWidth="1"/>
    <col min="8" max="8" width="24.85546875" style="2" bestFit="1" customWidth="1"/>
    <col min="9" max="9" width="18.42578125" style="2" bestFit="1" customWidth="1"/>
    <col min="10" max="10" width="8.71093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2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7" t="s">
        <v>388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2816265</v>
      </c>
      <c r="C4" s="4" t="s">
        <v>9</v>
      </c>
      <c r="D4" s="5">
        <v>0</v>
      </c>
      <c r="E4" s="4"/>
      <c r="F4" s="4" t="s">
        <v>81</v>
      </c>
      <c r="G4" s="4" t="s">
        <v>46</v>
      </c>
      <c r="H4" s="4" t="s">
        <v>89</v>
      </c>
      <c r="I4" s="4" t="s">
        <v>90</v>
      </c>
      <c r="J4" s="4" t="s">
        <v>91</v>
      </c>
      <c r="K4" s="4" t="s">
        <v>92</v>
      </c>
      <c r="L4" s="4">
        <v>120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17" ht="25.5" customHeight="1" x14ac:dyDescent="0.25">
      <c r="A5" s="10">
        <v>44470</v>
      </c>
      <c r="B5" s="11">
        <v>3028377</v>
      </c>
      <c r="C5" s="11" t="s">
        <v>50</v>
      </c>
      <c r="D5" s="125">
        <v>101367.49</v>
      </c>
      <c r="E5" s="11" t="s">
        <v>51</v>
      </c>
      <c r="F5" s="11" t="s">
        <v>46</v>
      </c>
      <c r="G5" s="11" t="s">
        <v>79</v>
      </c>
      <c r="H5" s="11" t="s">
        <v>89</v>
      </c>
      <c r="I5" s="11" t="s">
        <v>90</v>
      </c>
      <c r="J5" s="11" t="s">
        <v>91</v>
      </c>
      <c r="K5" s="11" t="s">
        <v>92</v>
      </c>
      <c r="L5" s="11">
        <v>672</v>
      </c>
      <c r="M5" s="11">
        <v>28980</v>
      </c>
      <c r="N5" s="11" t="s">
        <v>38</v>
      </c>
      <c r="O5" s="637">
        <v>9457.5868169999994</v>
      </c>
      <c r="P5" s="669">
        <f>O5/D5*100</f>
        <v>9.33</v>
      </c>
      <c r="Q5" s="630">
        <f>D5/(L5+L6)</f>
        <v>75.422239583333337</v>
      </c>
    </row>
    <row r="6" spans="1:17" ht="25.5" customHeight="1" x14ac:dyDescent="0.25">
      <c r="A6" s="10">
        <v>44473</v>
      </c>
      <c r="B6" s="11">
        <v>2816272</v>
      </c>
      <c r="C6" s="11" t="s">
        <v>9</v>
      </c>
      <c r="D6" s="125">
        <v>0</v>
      </c>
      <c r="E6" s="11"/>
      <c r="F6" s="11" t="s">
        <v>79</v>
      </c>
      <c r="G6" s="11" t="s">
        <v>46</v>
      </c>
      <c r="H6" s="11" t="s">
        <v>89</v>
      </c>
      <c r="I6" s="11" t="s">
        <v>90</v>
      </c>
      <c r="J6" s="11" t="s">
        <v>91</v>
      </c>
      <c r="K6" s="11" t="s">
        <v>92</v>
      </c>
      <c r="L6" s="11">
        <v>672</v>
      </c>
      <c r="M6" s="11">
        <v>0</v>
      </c>
      <c r="N6" s="11" t="s">
        <v>10</v>
      </c>
      <c r="O6" s="638"/>
      <c r="P6" s="669"/>
      <c r="Q6" s="630"/>
    </row>
    <row r="7" spans="1:17" ht="25.5" customHeight="1" x14ac:dyDescent="0.25">
      <c r="A7" s="16">
        <v>44474</v>
      </c>
      <c r="B7" s="17">
        <v>3029939</v>
      </c>
      <c r="C7" s="17" t="s">
        <v>50</v>
      </c>
      <c r="D7" s="128">
        <v>103697.11</v>
      </c>
      <c r="E7" s="17" t="s">
        <v>51</v>
      </c>
      <c r="F7" s="17" t="s">
        <v>46</v>
      </c>
      <c r="G7" s="17" t="s">
        <v>93</v>
      </c>
      <c r="H7" s="17" t="s">
        <v>89</v>
      </c>
      <c r="I7" s="17" t="s">
        <v>90</v>
      </c>
      <c r="J7" s="17" t="s">
        <v>91</v>
      </c>
      <c r="K7" s="17" t="s">
        <v>92</v>
      </c>
      <c r="L7" s="17">
        <v>660</v>
      </c>
      <c r="M7" s="17">
        <v>28980</v>
      </c>
      <c r="N7" s="17" t="s">
        <v>38</v>
      </c>
      <c r="O7" s="644">
        <v>9674.9403629999997</v>
      </c>
      <c r="P7" s="668">
        <f>O7/D7*100</f>
        <v>9.33</v>
      </c>
      <c r="Q7" s="628">
        <f>D7/(L7+L8)</f>
        <v>78.558416666666673</v>
      </c>
    </row>
    <row r="8" spans="1:17" ht="25.5" customHeight="1" x14ac:dyDescent="0.25">
      <c r="A8" s="16">
        <v>44476</v>
      </c>
      <c r="B8" s="17">
        <v>2816387</v>
      </c>
      <c r="C8" s="17" t="s">
        <v>9</v>
      </c>
      <c r="D8" s="128">
        <v>0</v>
      </c>
      <c r="E8" s="17"/>
      <c r="F8" s="17" t="s">
        <v>93</v>
      </c>
      <c r="G8" s="17" t="s">
        <v>46</v>
      </c>
      <c r="H8" s="17" t="s">
        <v>89</v>
      </c>
      <c r="I8" s="17" t="s">
        <v>90</v>
      </c>
      <c r="J8" s="17" t="s">
        <v>91</v>
      </c>
      <c r="K8" s="17" t="s">
        <v>92</v>
      </c>
      <c r="L8" s="17">
        <v>660</v>
      </c>
      <c r="M8" s="17">
        <v>0</v>
      </c>
      <c r="N8" s="17" t="s">
        <v>10</v>
      </c>
      <c r="O8" s="645"/>
      <c r="P8" s="668"/>
      <c r="Q8" s="628"/>
    </row>
    <row r="9" spans="1:17" ht="25.5" customHeight="1" x14ac:dyDescent="0.25">
      <c r="A9" s="12">
        <v>44477</v>
      </c>
      <c r="B9" s="13">
        <v>3031543</v>
      </c>
      <c r="C9" s="13" t="s">
        <v>50</v>
      </c>
      <c r="D9" s="127">
        <v>103460.94</v>
      </c>
      <c r="E9" s="13" t="s">
        <v>68</v>
      </c>
      <c r="F9" s="13" t="s">
        <v>46</v>
      </c>
      <c r="G9" s="13" t="s">
        <v>94</v>
      </c>
      <c r="H9" s="13" t="s">
        <v>89</v>
      </c>
      <c r="I9" s="13" t="s">
        <v>90</v>
      </c>
      <c r="J9" s="13" t="s">
        <v>91</v>
      </c>
      <c r="K9" s="13" t="s">
        <v>92</v>
      </c>
      <c r="L9" s="13">
        <v>690</v>
      </c>
      <c r="M9" s="13">
        <v>28960</v>
      </c>
      <c r="N9" s="13" t="s">
        <v>38</v>
      </c>
      <c r="O9" s="640">
        <v>9652.905702</v>
      </c>
      <c r="P9" s="671">
        <f>O9/D9*100</f>
        <v>9.33</v>
      </c>
      <c r="Q9" s="634">
        <f>D9/(L9+L10)</f>
        <v>74.971695652173921</v>
      </c>
    </row>
    <row r="10" spans="1:17" ht="25.5" customHeight="1" x14ac:dyDescent="0.25">
      <c r="A10" s="12">
        <v>44481</v>
      </c>
      <c r="B10" s="13">
        <v>2816412</v>
      </c>
      <c r="C10" s="13" t="s">
        <v>9</v>
      </c>
      <c r="D10" s="127">
        <v>0</v>
      </c>
      <c r="E10" s="13"/>
      <c r="F10" s="13" t="s">
        <v>94</v>
      </c>
      <c r="G10" s="13" t="s">
        <v>46</v>
      </c>
      <c r="H10" s="13" t="s">
        <v>89</v>
      </c>
      <c r="I10" s="13" t="s">
        <v>90</v>
      </c>
      <c r="J10" s="13" t="s">
        <v>91</v>
      </c>
      <c r="K10" s="13" t="s">
        <v>92</v>
      </c>
      <c r="L10" s="13">
        <v>690</v>
      </c>
      <c r="M10" s="13">
        <v>0</v>
      </c>
      <c r="N10" s="13" t="s">
        <v>10</v>
      </c>
      <c r="O10" s="642"/>
      <c r="P10" s="671"/>
      <c r="Q10" s="634"/>
    </row>
    <row r="11" spans="1:17" ht="25.5" customHeight="1" x14ac:dyDescent="0.25">
      <c r="A11" s="14">
        <v>44482</v>
      </c>
      <c r="B11" s="15">
        <v>3033067</v>
      </c>
      <c r="C11" s="15" t="s">
        <v>50</v>
      </c>
      <c r="D11" s="129">
        <v>21074.31</v>
      </c>
      <c r="E11" s="15" t="s">
        <v>68</v>
      </c>
      <c r="F11" s="15" t="s">
        <v>46</v>
      </c>
      <c r="G11" s="15" t="s">
        <v>81</v>
      </c>
      <c r="H11" s="15" t="s">
        <v>89</v>
      </c>
      <c r="I11" s="15" t="s">
        <v>90</v>
      </c>
      <c r="J11" s="15" t="s">
        <v>91</v>
      </c>
      <c r="K11" s="15" t="s">
        <v>92</v>
      </c>
      <c r="L11" s="15">
        <v>120</v>
      </c>
      <c r="M11" s="15">
        <v>28960</v>
      </c>
      <c r="N11" s="15" t="s">
        <v>38</v>
      </c>
      <c r="O11" s="647">
        <v>13475.189</v>
      </c>
      <c r="P11" s="670">
        <f>O11/(D11+D13)*100</f>
        <v>9.3299997832839345</v>
      </c>
      <c r="Q11" s="632">
        <f>(D11+D13)/(L11+L12+L13+L14)</f>
        <v>84.116837507280152</v>
      </c>
    </row>
    <row r="12" spans="1:17" ht="25.5" customHeight="1" x14ac:dyDescent="0.25">
      <c r="A12" s="14">
        <v>44483</v>
      </c>
      <c r="B12" s="15">
        <v>2816567</v>
      </c>
      <c r="C12" s="15" t="s">
        <v>9</v>
      </c>
      <c r="D12" s="129">
        <v>0</v>
      </c>
      <c r="E12" s="15"/>
      <c r="F12" s="15" t="s">
        <v>81</v>
      </c>
      <c r="G12" s="15" t="s">
        <v>74</v>
      </c>
      <c r="H12" s="15" t="s">
        <v>89</v>
      </c>
      <c r="I12" s="15" t="s">
        <v>90</v>
      </c>
      <c r="J12" s="15" t="s">
        <v>91</v>
      </c>
      <c r="K12" s="15" t="s">
        <v>92</v>
      </c>
      <c r="L12" s="15">
        <v>560</v>
      </c>
      <c r="M12" s="15">
        <v>0</v>
      </c>
      <c r="N12" s="15" t="s">
        <v>10</v>
      </c>
      <c r="O12" s="657"/>
      <c r="P12" s="670"/>
      <c r="Q12" s="632"/>
    </row>
    <row r="13" spans="1:17" ht="25.5" customHeight="1" x14ac:dyDescent="0.25">
      <c r="A13" s="14">
        <v>44484</v>
      </c>
      <c r="B13" s="15">
        <v>3034016</v>
      </c>
      <c r="C13" s="15" t="s">
        <v>50</v>
      </c>
      <c r="D13" s="129">
        <v>123354.3</v>
      </c>
      <c r="E13" s="15" t="s">
        <v>95</v>
      </c>
      <c r="F13" s="15" t="s">
        <v>74</v>
      </c>
      <c r="G13" s="15" t="s">
        <v>96</v>
      </c>
      <c r="H13" s="15" t="s">
        <v>89</v>
      </c>
      <c r="I13" s="15" t="s">
        <v>90</v>
      </c>
      <c r="J13" s="15" t="s">
        <v>91</v>
      </c>
      <c r="K13" s="15" t="s">
        <v>92</v>
      </c>
      <c r="L13" s="15">
        <v>805</v>
      </c>
      <c r="M13" s="15">
        <v>28800</v>
      </c>
      <c r="N13" s="15" t="s">
        <v>38</v>
      </c>
      <c r="O13" s="657"/>
      <c r="P13" s="670"/>
      <c r="Q13" s="632"/>
    </row>
    <row r="14" spans="1:17" ht="25.5" customHeight="1" x14ac:dyDescent="0.25">
      <c r="A14" s="14">
        <v>44487</v>
      </c>
      <c r="B14" s="15">
        <v>2816565</v>
      </c>
      <c r="C14" s="15" t="s">
        <v>9</v>
      </c>
      <c r="D14" s="129">
        <v>0</v>
      </c>
      <c r="E14" s="15"/>
      <c r="F14" s="15" t="s">
        <v>96</v>
      </c>
      <c r="G14" s="15" t="s">
        <v>46</v>
      </c>
      <c r="H14" s="15" t="s">
        <v>89</v>
      </c>
      <c r="I14" s="15" t="s">
        <v>90</v>
      </c>
      <c r="J14" s="15" t="s">
        <v>91</v>
      </c>
      <c r="K14" s="15" t="s">
        <v>92</v>
      </c>
      <c r="L14" s="15">
        <v>232</v>
      </c>
      <c r="M14" s="15">
        <v>0</v>
      </c>
      <c r="N14" s="15" t="s">
        <v>10</v>
      </c>
      <c r="O14" s="648"/>
      <c r="P14" s="670"/>
      <c r="Q14" s="632"/>
    </row>
    <row r="15" spans="1:17" ht="25.5" customHeight="1" x14ac:dyDescent="0.25">
      <c r="A15" s="10">
        <v>44488</v>
      </c>
      <c r="B15" s="11">
        <v>3036097</v>
      </c>
      <c r="C15" s="11" t="s">
        <v>50</v>
      </c>
      <c r="D15" s="125">
        <v>127127.97</v>
      </c>
      <c r="E15" s="11" t="s">
        <v>68</v>
      </c>
      <c r="F15" s="11" t="s">
        <v>46</v>
      </c>
      <c r="G15" s="11" t="s">
        <v>42</v>
      </c>
      <c r="H15" s="11" t="s">
        <v>89</v>
      </c>
      <c r="I15" s="11" t="s">
        <v>90</v>
      </c>
      <c r="J15" s="11" t="s">
        <v>91</v>
      </c>
      <c r="K15" s="11" t="s">
        <v>92</v>
      </c>
      <c r="L15" s="11">
        <v>802</v>
      </c>
      <c r="M15" s="11">
        <v>29040</v>
      </c>
      <c r="N15" s="11" t="s">
        <v>38</v>
      </c>
      <c r="O15" s="637">
        <v>11861.039601</v>
      </c>
      <c r="P15" s="669">
        <f>O15/D15*100</f>
        <v>9.33</v>
      </c>
      <c r="Q15" s="630">
        <f>D15/(L15+L16)</f>
        <v>79.256839152119696</v>
      </c>
    </row>
    <row r="16" spans="1:17" ht="25.5" customHeight="1" x14ac:dyDescent="0.25">
      <c r="A16" s="10">
        <v>44489</v>
      </c>
      <c r="B16" s="11">
        <v>2816562</v>
      </c>
      <c r="C16" s="11" t="s">
        <v>9</v>
      </c>
      <c r="D16" s="125">
        <v>0</v>
      </c>
      <c r="E16" s="11"/>
      <c r="F16" s="11" t="s">
        <v>42</v>
      </c>
      <c r="G16" s="11" t="s">
        <v>46</v>
      </c>
      <c r="H16" s="11" t="s">
        <v>89</v>
      </c>
      <c r="I16" s="11" t="s">
        <v>90</v>
      </c>
      <c r="J16" s="11" t="s">
        <v>91</v>
      </c>
      <c r="K16" s="11" t="s">
        <v>92</v>
      </c>
      <c r="L16" s="11">
        <v>802</v>
      </c>
      <c r="M16" s="11">
        <v>0</v>
      </c>
      <c r="N16" s="11" t="s">
        <v>10</v>
      </c>
      <c r="O16" s="638"/>
      <c r="P16" s="669"/>
      <c r="Q16" s="630"/>
    </row>
    <row r="17" spans="1:17" ht="25.5" customHeight="1" x14ac:dyDescent="0.25">
      <c r="A17" s="16">
        <v>44490</v>
      </c>
      <c r="B17" s="17">
        <v>3037206</v>
      </c>
      <c r="C17" s="17" t="s">
        <v>50</v>
      </c>
      <c r="D17" s="128">
        <v>21001.48</v>
      </c>
      <c r="E17" s="17" t="s">
        <v>68</v>
      </c>
      <c r="F17" s="17" t="s">
        <v>46</v>
      </c>
      <c r="G17" s="17" t="s">
        <v>81</v>
      </c>
      <c r="H17" s="17" t="s">
        <v>89</v>
      </c>
      <c r="I17" s="17" t="s">
        <v>90</v>
      </c>
      <c r="J17" s="17" t="s">
        <v>91</v>
      </c>
      <c r="K17" s="17" t="s">
        <v>92</v>
      </c>
      <c r="L17" s="17">
        <v>120</v>
      </c>
      <c r="M17" s="17">
        <v>28860</v>
      </c>
      <c r="N17" s="17" t="s">
        <v>38</v>
      </c>
      <c r="O17" s="644">
        <v>1959.4380839999999</v>
      </c>
      <c r="P17" s="668">
        <f>O17/D17*100</f>
        <v>9.33</v>
      </c>
      <c r="Q17" s="628">
        <f>D17/(L17+L18)</f>
        <v>87.506166666666658</v>
      </c>
    </row>
    <row r="18" spans="1:17" ht="25.5" customHeight="1" x14ac:dyDescent="0.25">
      <c r="A18" s="16">
        <v>44491</v>
      </c>
      <c r="B18" s="17">
        <v>2816566</v>
      </c>
      <c r="C18" s="17" t="s">
        <v>9</v>
      </c>
      <c r="D18" s="128">
        <v>0</v>
      </c>
      <c r="E18" s="17"/>
      <c r="F18" s="17" t="s">
        <v>81</v>
      </c>
      <c r="G18" s="17" t="s">
        <v>46</v>
      </c>
      <c r="H18" s="17" t="s">
        <v>89</v>
      </c>
      <c r="I18" s="17" t="s">
        <v>90</v>
      </c>
      <c r="J18" s="17" t="s">
        <v>91</v>
      </c>
      <c r="K18" s="17" t="s">
        <v>92</v>
      </c>
      <c r="L18" s="17">
        <v>120</v>
      </c>
      <c r="M18" s="17">
        <v>0</v>
      </c>
      <c r="N18" s="17" t="s">
        <v>10</v>
      </c>
      <c r="O18" s="645"/>
      <c r="P18" s="668"/>
      <c r="Q18" s="628"/>
    </row>
    <row r="19" spans="1:17" ht="25.5" customHeight="1" x14ac:dyDescent="0.25">
      <c r="A19" s="12">
        <v>44492</v>
      </c>
      <c r="B19" s="13">
        <v>3038438</v>
      </c>
      <c r="C19" s="13" t="s">
        <v>50</v>
      </c>
      <c r="D19" s="127">
        <v>103675.18</v>
      </c>
      <c r="E19" s="13" t="s">
        <v>68</v>
      </c>
      <c r="F19" s="13" t="s">
        <v>46</v>
      </c>
      <c r="G19" s="13" t="s">
        <v>94</v>
      </c>
      <c r="H19" s="13" t="s">
        <v>89</v>
      </c>
      <c r="I19" s="13" t="s">
        <v>90</v>
      </c>
      <c r="J19" s="13" t="s">
        <v>91</v>
      </c>
      <c r="K19" s="13" t="s">
        <v>92</v>
      </c>
      <c r="L19" s="13">
        <v>690</v>
      </c>
      <c r="M19" s="13">
        <v>29020</v>
      </c>
      <c r="N19" s="13" t="s">
        <v>38</v>
      </c>
      <c r="O19" s="640">
        <v>9672.8942939999997</v>
      </c>
      <c r="P19" s="671">
        <f>O19/D19*100</f>
        <v>9.33</v>
      </c>
      <c r="Q19" s="634">
        <f>D19/(L19+L20)</f>
        <v>75.126942028985496</v>
      </c>
    </row>
    <row r="20" spans="1:17" ht="25.5" customHeight="1" x14ac:dyDescent="0.25">
      <c r="A20" s="12">
        <v>44494</v>
      </c>
      <c r="B20" s="13">
        <v>2816592</v>
      </c>
      <c r="C20" s="13" t="s">
        <v>9</v>
      </c>
      <c r="D20" s="127">
        <v>0</v>
      </c>
      <c r="E20" s="13"/>
      <c r="F20" s="13" t="s">
        <v>94</v>
      </c>
      <c r="G20" s="13" t="s">
        <v>46</v>
      </c>
      <c r="H20" s="13" t="s">
        <v>89</v>
      </c>
      <c r="I20" s="13" t="s">
        <v>90</v>
      </c>
      <c r="J20" s="13" t="s">
        <v>91</v>
      </c>
      <c r="K20" s="13" t="s">
        <v>92</v>
      </c>
      <c r="L20" s="13">
        <v>690</v>
      </c>
      <c r="M20" s="13">
        <v>0</v>
      </c>
      <c r="N20" s="13" t="s">
        <v>10</v>
      </c>
      <c r="O20" s="642"/>
      <c r="P20" s="671"/>
      <c r="Q20" s="634"/>
    </row>
    <row r="21" spans="1:17" ht="25.5" customHeight="1" x14ac:dyDescent="0.25">
      <c r="A21" s="14">
        <v>44495</v>
      </c>
      <c r="B21" s="15">
        <v>3040263</v>
      </c>
      <c r="C21" s="15" t="s">
        <v>50</v>
      </c>
      <c r="D21" s="129">
        <v>77525.429999999993</v>
      </c>
      <c r="E21" s="15" t="s">
        <v>68</v>
      </c>
      <c r="F21" s="15" t="s">
        <v>46</v>
      </c>
      <c r="G21" s="15" t="s">
        <v>52</v>
      </c>
      <c r="H21" s="15" t="s">
        <v>89</v>
      </c>
      <c r="I21" s="15" t="s">
        <v>90</v>
      </c>
      <c r="J21" s="15" t="s">
        <v>91</v>
      </c>
      <c r="K21" s="15" t="s">
        <v>92</v>
      </c>
      <c r="L21" s="15">
        <v>450</v>
      </c>
      <c r="M21" s="15">
        <v>28700</v>
      </c>
      <c r="N21" s="15" t="s">
        <v>38</v>
      </c>
      <c r="O21" s="647">
        <v>7233.1226189999998</v>
      </c>
      <c r="P21" s="670">
        <f>O21/D21*100</f>
        <v>9.33</v>
      </c>
      <c r="Q21" s="632">
        <f>D21/(L21+L22)</f>
        <v>86.13936666666666</v>
      </c>
    </row>
    <row r="22" spans="1:17" ht="25.5" customHeight="1" x14ac:dyDescent="0.25">
      <c r="A22" s="14">
        <v>44497</v>
      </c>
      <c r="B22" s="15">
        <v>2816628</v>
      </c>
      <c r="C22" s="15" t="s">
        <v>9</v>
      </c>
      <c r="D22" s="129">
        <v>0</v>
      </c>
      <c r="E22" s="15"/>
      <c r="F22" s="15" t="s">
        <v>52</v>
      </c>
      <c r="G22" s="15" t="s">
        <v>46</v>
      </c>
      <c r="H22" s="15" t="s">
        <v>89</v>
      </c>
      <c r="I22" s="15" t="s">
        <v>90</v>
      </c>
      <c r="J22" s="15" t="s">
        <v>91</v>
      </c>
      <c r="K22" s="15" t="s">
        <v>92</v>
      </c>
      <c r="L22" s="15">
        <v>450</v>
      </c>
      <c r="M22" s="15">
        <v>0</v>
      </c>
      <c r="N22" s="15" t="s">
        <v>10</v>
      </c>
      <c r="O22" s="648"/>
      <c r="P22" s="670"/>
      <c r="Q22" s="632"/>
    </row>
    <row r="23" spans="1:17" ht="25.5" customHeight="1" x14ac:dyDescent="0.25">
      <c r="A23" s="73">
        <v>44498</v>
      </c>
      <c r="B23" s="60">
        <v>3041387</v>
      </c>
      <c r="C23" s="60" t="s">
        <v>50</v>
      </c>
      <c r="D23" s="124">
        <v>20986.87</v>
      </c>
      <c r="E23" s="60" t="s">
        <v>68</v>
      </c>
      <c r="F23" s="60" t="s">
        <v>46</v>
      </c>
      <c r="G23" s="60" t="s">
        <v>81</v>
      </c>
      <c r="H23" s="60" t="s">
        <v>89</v>
      </c>
      <c r="I23" s="60" t="s">
        <v>90</v>
      </c>
      <c r="J23" s="60" t="s">
        <v>91</v>
      </c>
      <c r="K23" s="60" t="s">
        <v>92</v>
      </c>
      <c r="L23" s="60">
        <v>120</v>
      </c>
      <c r="M23" s="60">
        <v>28840</v>
      </c>
      <c r="N23" s="60" t="s">
        <v>38</v>
      </c>
      <c r="O23" s="637">
        <v>1958.074971</v>
      </c>
      <c r="P23" s="669">
        <f>O23/D23*100</f>
        <v>9.33</v>
      </c>
      <c r="Q23" s="630">
        <f>D23/(L23+L24)</f>
        <v>87.445291666666662</v>
      </c>
    </row>
    <row r="24" spans="1:17" ht="25.5" customHeight="1" x14ac:dyDescent="0.25">
      <c r="A24" s="73">
        <v>44498</v>
      </c>
      <c r="B24" s="60">
        <v>2816639</v>
      </c>
      <c r="C24" s="60" t="s">
        <v>9</v>
      </c>
      <c r="D24" s="124">
        <v>0</v>
      </c>
      <c r="E24" s="60"/>
      <c r="F24" s="60" t="s">
        <v>81</v>
      </c>
      <c r="G24" s="60" t="s">
        <v>46</v>
      </c>
      <c r="H24" s="60" t="s">
        <v>89</v>
      </c>
      <c r="I24" s="60" t="s">
        <v>90</v>
      </c>
      <c r="J24" s="60" t="s">
        <v>91</v>
      </c>
      <c r="K24" s="60" t="s">
        <v>92</v>
      </c>
      <c r="L24" s="60">
        <v>120</v>
      </c>
      <c r="M24" s="60">
        <v>0</v>
      </c>
      <c r="N24" s="60" t="s">
        <v>10</v>
      </c>
      <c r="O24" s="638"/>
      <c r="P24" s="669"/>
      <c r="Q24" s="630"/>
    </row>
    <row r="25" spans="1:17" ht="25.5" customHeight="1" x14ac:dyDescent="0.25">
      <c r="A25" s="3">
        <v>44498</v>
      </c>
      <c r="B25" s="4">
        <v>3042130</v>
      </c>
      <c r="C25" s="4" t="s">
        <v>50</v>
      </c>
      <c r="D25" s="5">
        <v>103389.37</v>
      </c>
      <c r="E25" s="4" t="s">
        <v>68</v>
      </c>
      <c r="F25" s="4" t="s">
        <v>46</v>
      </c>
      <c r="G25" s="4" t="s">
        <v>94</v>
      </c>
      <c r="H25" s="4" t="s">
        <v>89</v>
      </c>
      <c r="I25" s="4" t="s">
        <v>90</v>
      </c>
      <c r="J25" s="4" t="s">
        <v>91</v>
      </c>
      <c r="K25" s="4" t="s">
        <v>92</v>
      </c>
      <c r="L25" s="4">
        <v>690</v>
      </c>
      <c r="M25" s="4">
        <v>28940</v>
      </c>
      <c r="N25" s="4" t="s">
        <v>38</v>
      </c>
      <c r="O25" s="5">
        <v>9646.2282209999994</v>
      </c>
      <c r="P25" s="39">
        <f>O25/D25*100</f>
        <v>9.33</v>
      </c>
      <c r="Q25" s="24">
        <f>D25/L25</f>
        <v>149.83966666666666</v>
      </c>
    </row>
    <row r="26" spans="1:17" x14ac:dyDescent="0.25">
      <c r="A26" s="9"/>
      <c r="B26" s="9"/>
      <c r="C26" s="9"/>
      <c r="D26" s="18">
        <f>SUM(D4:D25)</f>
        <v>906660.45</v>
      </c>
      <c r="E26" s="9"/>
      <c r="F26" s="9"/>
      <c r="G26" s="9"/>
      <c r="H26" s="9"/>
      <c r="I26" s="9"/>
      <c r="J26" s="9"/>
      <c r="K26" s="9"/>
      <c r="L26" s="9">
        <f>SUM(L4:L25)</f>
        <v>10935</v>
      </c>
      <c r="M26" s="9"/>
      <c r="N26" s="9"/>
      <c r="O26" s="24">
        <f>SUM(O4:O25)</f>
        <v>84591.419672000004</v>
      </c>
      <c r="P26" s="39">
        <f>O26/D26*100</f>
        <v>9.3299999654777039</v>
      </c>
      <c r="Q26" s="26">
        <f>D26/L26</f>
        <v>82.913621399176947</v>
      </c>
    </row>
    <row r="28" spans="1:17" x14ac:dyDescent="0.25">
      <c r="A28" s="138" t="s">
        <v>27</v>
      </c>
      <c r="B28" s="139" t="s">
        <v>328</v>
      </c>
      <c r="C28" s="9" t="s">
        <v>385</v>
      </c>
    </row>
    <row r="29" spans="1:17" x14ac:dyDescent="0.25">
      <c r="A29" s="140">
        <f>O26</f>
        <v>84591.419672000004</v>
      </c>
      <c r="B29" s="136"/>
      <c r="C29" s="39">
        <f>A29/D26*100</f>
        <v>9.3299999654777039</v>
      </c>
    </row>
  </sheetData>
  <sortState xmlns:xlrd2="http://schemas.microsoft.com/office/spreadsheetml/2017/richdata2" ref="A2:P24">
    <sortCondition ref="A1"/>
  </sortState>
  <mergeCells count="28"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  <mergeCell ref="Q15:Q16"/>
    <mergeCell ref="P15:P16"/>
    <mergeCell ref="O15:O16"/>
    <mergeCell ref="Q11:Q14"/>
    <mergeCell ref="P11:P14"/>
    <mergeCell ref="O11:O14"/>
    <mergeCell ref="Q19:Q20"/>
    <mergeCell ref="P19:P20"/>
    <mergeCell ref="O19:O20"/>
    <mergeCell ref="Q17:Q18"/>
    <mergeCell ref="P17:P18"/>
    <mergeCell ref="O17:O18"/>
    <mergeCell ref="Q23:Q24"/>
    <mergeCell ref="P23:P24"/>
    <mergeCell ref="O23:O24"/>
    <mergeCell ref="Q21:Q22"/>
    <mergeCell ref="P21:P22"/>
    <mergeCell ref="O21:O2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00B0F0"/>
  </sheetPr>
  <dimension ref="A1:Q25"/>
  <sheetViews>
    <sheetView topLeftCell="A16" zoomScaleNormal="100" workbookViewId="0">
      <selection activeCell="S3" sqref="S3"/>
    </sheetView>
  </sheetViews>
  <sheetFormatPr baseColWidth="10" defaultRowHeight="15" x14ac:dyDescent="0.25"/>
  <cols>
    <col min="1" max="1" width="11.5703125" style="2" bestFit="1" customWidth="1"/>
    <col min="2" max="2" width="12.140625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42.28515625" style="2" bestFit="1" customWidth="1"/>
    <col min="8" max="8" width="24.85546875" style="2" bestFit="1" customWidth="1"/>
    <col min="9" max="9" width="17.42578125" style="2" bestFit="1" customWidth="1"/>
    <col min="10" max="10" width="8.71093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2" style="25" bestFit="1" customWidth="1"/>
    <col min="16" max="16" width="19.42578125" style="142" bestFit="1" customWidth="1"/>
    <col min="17" max="17" width="9.42578125" style="25" bestFit="1" customWidth="1"/>
    <col min="18" max="16384" width="11.42578125" style="2"/>
  </cols>
  <sheetData>
    <row r="1" spans="1:17" x14ac:dyDescent="0.25">
      <c r="A1" s="627" t="s">
        <v>389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141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2816276</v>
      </c>
      <c r="C4" s="4" t="s">
        <v>9</v>
      </c>
      <c r="D4" s="5">
        <v>0</v>
      </c>
      <c r="E4" s="4"/>
      <c r="F4" s="4" t="s">
        <v>126</v>
      </c>
      <c r="G4" s="4" t="s">
        <v>46</v>
      </c>
      <c r="H4" s="4" t="s">
        <v>89</v>
      </c>
      <c r="I4" s="4" t="s">
        <v>127</v>
      </c>
      <c r="J4" s="4" t="s">
        <v>128</v>
      </c>
      <c r="K4" s="4" t="s">
        <v>129</v>
      </c>
      <c r="L4" s="4">
        <v>671</v>
      </c>
      <c r="M4" s="4">
        <v>0</v>
      </c>
      <c r="N4" s="4" t="s">
        <v>10</v>
      </c>
      <c r="O4" s="5">
        <v>0</v>
      </c>
      <c r="P4" s="89">
        <v>0</v>
      </c>
      <c r="Q4" s="24">
        <v>0</v>
      </c>
    </row>
    <row r="5" spans="1:17" ht="25.5" customHeight="1" x14ac:dyDescent="0.25">
      <c r="A5" s="10">
        <v>44473</v>
      </c>
      <c r="B5" s="11">
        <v>3028624</v>
      </c>
      <c r="C5" s="11" t="s">
        <v>50</v>
      </c>
      <c r="D5" s="125">
        <v>92977.22</v>
      </c>
      <c r="E5" s="11" t="s">
        <v>51</v>
      </c>
      <c r="F5" s="11" t="s">
        <v>46</v>
      </c>
      <c r="G5" s="11" t="s">
        <v>130</v>
      </c>
      <c r="H5" s="11" t="s">
        <v>89</v>
      </c>
      <c r="I5" s="11" t="s">
        <v>127</v>
      </c>
      <c r="J5" s="11" t="s">
        <v>128</v>
      </c>
      <c r="K5" s="11" t="s">
        <v>129</v>
      </c>
      <c r="L5" s="11">
        <v>600</v>
      </c>
      <c r="M5" s="11">
        <v>28980</v>
      </c>
      <c r="N5" s="11" t="s">
        <v>38</v>
      </c>
      <c r="O5" s="637">
        <v>8674.7746260000004</v>
      </c>
      <c r="P5" s="669">
        <f>O5/D5*100</f>
        <v>9.33</v>
      </c>
      <c r="Q5" s="630">
        <f>D5/(L5+L6)</f>
        <v>77.481016666666662</v>
      </c>
    </row>
    <row r="6" spans="1:17" ht="25.5" customHeight="1" x14ac:dyDescent="0.25">
      <c r="A6" s="10">
        <v>44474</v>
      </c>
      <c r="B6" s="11">
        <v>2816277</v>
      </c>
      <c r="C6" s="11" t="s">
        <v>9</v>
      </c>
      <c r="D6" s="125">
        <v>0</v>
      </c>
      <c r="E6" s="11"/>
      <c r="F6" s="11" t="s">
        <v>130</v>
      </c>
      <c r="G6" s="11" t="s">
        <v>46</v>
      </c>
      <c r="H6" s="11" t="s">
        <v>89</v>
      </c>
      <c r="I6" s="11" t="s">
        <v>127</v>
      </c>
      <c r="J6" s="11" t="s">
        <v>128</v>
      </c>
      <c r="K6" s="11" t="s">
        <v>129</v>
      </c>
      <c r="L6" s="11">
        <v>600</v>
      </c>
      <c r="M6" s="11">
        <v>0</v>
      </c>
      <c r="N6" s="11" t="s">
        <v>10</v>
      </c>
      <c r="O6" s="638"/>
      <c r="P6" s="669"/>
      <c r="Q6" s="630"/>
    </row>
    <row r="7" spans="1:17" ht="25.5" customHeight="1" x14ac:dyDescent="0.25">
      <c r="A7" s="16">
        <v>44476</v>
      </c>
      <c r="B7" s="17">
        <v>3030515</v>
      </c>
      <c r="C7" s="17" t="s">
        <v>50</v>
      </c>
      <c r="D7" s="128">
        <v>110496.93</v>
      </c>
      <c r="E7" s="17" t="s">
        <v>51</v>
      </c>
      <c r="F7" s="17" t="s">
        <v>46</v>
      </c>
      <c r="G7" s="17" t="s">
        <v>126</v>
      </c>
      <c r="H7" s="17" t="s">
        <v>89</v>
      </c>
      <c r="I7" s="17" t="s">
        <v>127</v>
      </c>
      <c r="J7" s="17" t="s">
        <v>128</v>
      </c>
      <c r="K7" s="17" t="s">
        <v>129</v>
      </c>
      <c r="L7" s="17">
        <v>671</v>
      </c>
      <c r="M7" s="17">
        <v>29100</v>
      </c>
      <c r="N7" s="17" t="s">
        <v>38</v>
      </c>
      <c r="O7" s="644">
        <v>10309.363568999999</v>
      </c>
      <c r="P7" s="668">
        <f>O7/D7*100</f>
        <v>9.33</v>
      </c>
      <c r="Q7" s="628">
        <f>D7/(L7+L8)</f>
        <v>82.337503725782412</v>
      </c>
    </row>
    <row r="8" spans="1:17" ht="25.5" customHeight="1" x14ac:dyDescent="0.25">
      <c r="A8" s="16">
        <v>44477</v>
      </c>
      <c r="B8" s="17">
        <v>2816384</v>
      </c>
      <c r="C8" s="17" t="s">
        <v>9</v>
      </c>
      <c r="D8" s="128">
        <v>0</v>
      </c>
      <c r="E8" s="17"/>
      <c r="F8" s="17" t="s">
        <v>126</v>
      </c>
      <c r="G8" s="17" t="s">
        <v>46</v>
      </c>
      <c r="H8" s="17" t="s">
        <v>89</v>
      </c>
      <c r="I8" s="17" t="s">
        <v>127</v>
      </c>
      <c r="J8" s="17" t="s">
        <v>128</v>
      </c>
      <c r="K8" s="17" t="s">
        <v>129</v>
      </c>
      <c r="L8" s="17">
        <v>671</v>
      </c>
      <c r="M8" s="17">
        <v>0</v>
      </c>
      <c r="N8" s="17" t="s">
        <v>10</v>
      </c>
      <c r="O8" s="645"/>
      <c r="P8" s="668"/>
      <c r="Q8" s="628"/>
    </row>
    <row r="9" spans="1:17" ht="25.5" customHeight="1" x14ac:dyDescent="0.25">
      <c r="A9" s="12">
        <v>44477</v>
      </c>
      <c r="B9" s="13">
        <v>3031460</v>
      </c>
      <c r="C9" s="13" t="s">
        <v>50</v>
      </c>
      <c r="D9" s="127">
        <v>126865.31</v>
      </c>
      <c r="E9" s="13" t="s">
        <v>51</v>
      </c>
      <c r="F9" s="13" t="s">
        <v>46</v>
      </c>
      <c r="G9" s="13" t="s">
        <v>42</v>
      </c>
      <c r="H9" s="13" t="s">
        <v>89</v>
      </c>
      <c r="I9" s="13" t="s">
        <v>127</v>
      </c>
      <c r="J9" s="13" t="s">
        <v>128</v>
      </c>
      <c r="K9" s="13" t="s">
        <v>129</v>
      </c>
      <c r="L9" s="13">
        <v>802</v>
      </c>
      <c r="M9" s="13">
        <v>28980</v>
      </c>
      <c r="N9" s="13" t="s">
        <v>38</v>
      </c>
      <c r="O9" s="640">
        <v>11836.533423000001</v>
      </c>
      <c r="P9" s="671">
        <f>O9/D9*100</f>
        <v>9.33</v>
      </c>
      <c r="Q9" s="634">
        <f>D9/(L9+L10)</f>
        <v>79.093086034912716</v>
      </c>
    </row>
    <row r="10" spans="1:17" ht="25.5" customHeight="1" x14ac:dyDescent="0.25">
      <c r="A10" s="12">
        <v>44481</v>
      </c>
      <c r="B10" s="13">
        <v>2816404</v>
      </c>
      <c r="C10" s="13" t="s">
        <v>9</v>
      </c>
      <c r="D10" s="127">
        <v>0</v>
      </c>
      <c r="E10" s="13"/>
      <c r="F10" s="13" t="s">
        <v>42</v>
      </c>
      <c r="G10" s="13" t="s">
        <v>46</v>
      </c>
      <c r="H10" s="13" t="s">
        <v>89</v>
      </c>
      <c r="I10" s="13" t="s">
        <v>127</v>
      </c>
      <c r="J10" s="13" t="s">
        <v>128</v>
      </c>
      <c r="K10" s="13" t="s">
        <v>129</v>
      </c>
      <c r="L10" s="13">
        <v>802</v>
      </c>
      <c r="M10" s="13">
        <v>0</v>
      </c>
      <c r="N10" s="13" t="s">
        <v>10</v>
      </c>
      <c r="O10" s="642"/>
      <c r="P10" s="671"/>
      <c r="Q10" s="634"/>
    </row>
    <row r="11" spans="1:17" ht="25.5" customHeight="1" x14ac:dyDescent="0.25">
      <c r="A11" s="14">
        <v>44481</v>
      </c>
      <c r="B11" s="15">
        <v>3032745</v>
      </c>
      <c r="C11" s="15" t="s">
        <v>50</v>
      </c>
      <c r="D11" s="129">
        <v>96049.18</v>
      </c>
      <c r="E11" s="15" t="s">
        <v>68</v>
      </c>
      <c r="F11" s="15" t="s">
        <v>46</v>
      </c>
      <c r="G11" s="15" t="s">
        <v>77</v>
      </c>
      <c r="H11" s="15" t="s">
        <v>89</v>
      </c>
      <c r="I11" s="15" t="s">
        <v>127</v>
      </c>
      <c r="J11" s="15" t="s">
        <v>128</v>
      </c>
      <c r="K11" s="15" t="s">
        <v>129</v>
      </c>
      <c r="L11" s="15">
        <v>640</v>
      </c>
      <c r="M11" s="15">
        <v>29160</v>
      </c>
      <c r="N11" s="15" t="s">
        <v>38</v>
      </c>
      <c r="O11" s="647">
        <v>8961.3884940000007</v>
      </c>
      <c r="P11" s="670">
        <f>O11/D11*100</f>
        <v>9.33</v>
      </c>
      <c r="Q11" s="632">
        <f>D11/(L11+L12)</f>
        <v>75.038421874999997</v>
      </c>
    </row>
    <row r="12" spans="1:17" ht="25.5" customHeight="1" x14ac:dyDescent="0.25">
      <c r="A12" s="14">
        <v>44483</v>
      </c>
      <c r="B12" s="15">
        <v>2816512</v>
      </c>
      <c r="C12" s="15" t="s">
        <v>9</v>
      </c>
      <c r="D12" s="129">
        <v>0</v>
      </c>
      <c r="E12" s="15"/>
      <c r="F12" s="15" t="s">
        <v>77</v>
      </c>
      <c r="G12" s="15" t="s">
        <v>46</v>
      </c>
      <c r="H12" s="15" t="s">
        <v>89</v>
      </c>
      <c r="I12" s="15" t="s">
        <v>127</v>
      </c>
      <c r="J12" s="15" t="s">
        <v>128</v>
      </c>
      <c r="K12" s="15" t="s">
        <v>129</v>
      </c>
      <c r="L12" s="15">
        <v>640</v>
      </c>
      <c r="M12" s="15">
        <v>0</v>
      </c>
      <c r="N12" s="15" t="s">
        <v>10</v>
      </c>
      <c r="O12" s="648"/>
      <c r="P12" s="670"/>
      <c r="Q12" s="632"/>
    </row>
    <row r="13" spans="1:17" ht="25.5" customHeight="1" x14ac:dyDescent="0.25">
      <c r="A13" s="10">
        <v>44484</v>
      </c>
      <c r="B13" s="11">
        <v>3033829</v>
      </c>
      <c r="C13" s="11" t="s">
        <v>50</v>
      </c>
      <c r="D13" s="125">
        <v>21190.74</v>
      </c>
      <c r="E13" s="11" t="s">
        <v>68</v>
      </c>
      <c r="F13" s="11" t="s">
        <v>46</v>
      </c>
      <c r="G13" s="11" t="s">
        <v>81</v>
      </c>
      <c r="H13" s="11" t="s">
        <v>89</v>
      </c>
      <c r="I13" s="11" t="s">
        <v>127</v>
      </c>
      <c r="J13" s="11" t="s">
        <v>128</v>
      </c>
      <c r="K13" s="11" t="s">
        <v>129</v>
      </c>
      <c r="L13" s="11">
        <v>120</v>
      </c>
      <c r="M13" s="11">
        <v>29120</v>
      </c>
      <c r="N13" s="11" t="s">
        <v>38</v>
      </c>
      <c r="O13" s="637">
        <v>1977.0960419999999</v>
      </c>
      <c r="P13" s="669">
        <f>O13/D13*100</f>
        <v>9.33</v>
      </c>
      <c r="Q13" s="630">
        <f>D13/(L13+L14)</f>
        <v>88.294750000000008</v>
      </c>
    </row>
    <row r="14" spans="1:17" ht="25.5" customHeight="1" x14ac:dyDescent="0.25">
      <c r="A14" s="10">
        <v>44485</v>
      </c>
      <c r="B14" s="11">
        <v>2816511</v>
      </c>
      <c r="C14" s="11" t="s">
        <v>9</v>
      </c>
      <c r="D14" s="125">
        <v>0</v>
      </c>
      <c r="E14" s="11"/>
      <c r="F14" s="11" t="s">
        <v>81</v>
      </c>
      <c r="G14" s="11" t="s">
        <v>46</v>
      </c>
      <c r="H14" s="11" t="s">
        <v>89</v>
      </c>
      <c r="I14" s="11" t="s">
        <v>127</v>
      </c>
      <c r="J14" s="11" t="s">
        <v>128</v>
      </c>
      <c r="K14" s="11" t="s">
        <v>129</v>
      </c>
      <c r="L14" s="11">
        <v>120</v>
      </c>
      <c r="M14" s="11">
        <v>0</v>
      </c>
      <c r="N14" s="11" t="s">
        <v>10</v>
      </c>
      <c r="O14" s="638"/>
      <c r="P14" s="669"/>
      <c r="Q14" s="630"/>
    </row>
    <row r="15" spans="1:17" ht="25.5" customHeight="1" x14ac:dyDescent="0.25">
      <c r="A15" s="16">
        <v>44486</v>
      </c>
      <c r="B15" s="17">
        <v>3034637</v>
      </c>
      <c r="C15" s="17" t="s">
        <v>50</v>
      </c>
      <c r="D15" s="128">
        <v>127346.85</v>
      </c>
      <c r="E15" s="17" t="s">
        <v>68</v>
      </c>
      <c r="F15" s="17" t="s">
        <v>46</v>
      </c>
      <c r="G15" s="17" t="s">
        <v>42</v>
      </c>
      <c r="H15" s="17" t="s">
        <v>89</v>
      </c>
      <c r="I15" s="17" t="s">
        <v>127</v>
      </c>
      <c r="J15" s="17" t="s">
        <v>128</v>
      </c>
      <c r="K15" s="17" t="s">
        <v>129</v>
      </c>
      <c r="L15" s="17">
        <v>802</v>
      </c>
      <c r="M15" s="17">
        <v>29280</v>
      </c>
      <c r="N15" s="17" t="s">
        <v>38</v>
      </c>
      <c r="O15" s="644">
        <v>11881.461105</v>
      </c>
      <c r="P15" s="668">
        <f>O15/D15*100</f>
        <v>9.33</v>
      </c>
      <c r="Q15" s="628">
        <f>D15/(L15+L16)</f>
        <v>79.393298004987528</v>
      </c>
    </row>
    <row r="16" spans="1:17" ht="25.5" customHeight="1" x14ac:dyDescent="0.25">
      <c r="A16" s="16">
        <v>44487</v>
      </c>
      <c r="B16" s="17">
        <v>2816544</v>
      </c>
      <c r="C16" s="17" t="s">
        <v>9</v>
      </c>
      <c r="D16" s="128">
        <v>0</v>
      </c>
      <c r="E16" s="17"/>
      <c r="F16" s="17" t="s">
        <v>42</v>
      </c>
      <c r="G16" s="17" t="s">
        <v>46</v>
      </c>
      <c r="H16" s="17" t="s">
        <v>89</v>
      </c>
      <c r="I16" s="17" t="s">
        <v>127</v>
      </c>
      <c r="J16" s="17" t="s">
        <v>128</v>
      </c>
      <c r="K16" s="17" t="s">
        <v>129</v>
      </c>
      <c r="L16" s="17">
        <v>802</v>
      </c>
      <c r="M16" s="17">
        <v>0</v>
      </c>
      <c r="N16" s="17" t="s">
        <v>10</v>
      </c>
      <c r="O16" s="645"/>
      <c r="P16" s="668"/>
      <c r="Q16" s="628"/>
    </row>
    <row r="17" spans="1:17" ht="25.5" customHeight="1" x14ac:dyDescent="0.25">
      <c r="A17" s="12">
        <v>44489</v>
      </c>
      <c r="B17" s="13">
        <v>3036926</v>
      </c>
      <c r="C17" s="13" t="s">
        <v>50</v>
      </c>
      <c r="D17" s="127">
        <v>93811.38</v>
      </c>
      <c r="E17" s="13" t="s">
        <v>68</v>
      </c>
      <c r="F17" s="13" t="s">
        <v>46</v>
      </c>
      <c r="G17" s="13" t="s">
        <v>130</v>
      </c>
      <c r="H17" s="13" t="s">
        <v>89</v>
      </c>
      <c r="I17" s="13" t="s">
        <v>127</v>
      </c>
      <c r="J17" s="13" t="s">
        <v>128</v>
      </c>
      <c r="K17" s="13" t="s">
        <v>129</v>
      </c>
      <c r="L17" s="13">
        <v>600</v>
      </c>
      <c r="M17" s="13">
        <v>29240</v>
      </c>
      <c r="N17" s="13" t="s">
        <v>38</v>
      </c>
      <c r="O17" s="640">
        <v>8752.6017539999993</v>
      </c>
      <c r="P17" s="671">
        <f>O17/D17*100</f>
        <v>9.33</v>
      </c>
      <c r="Q17" s="634">
        <f>D17/(L17+L18)</f>
        <v>78.176150000000007</v>
      </c>
    </row>
    <row r="18" spans="1:17" ht="25.5" customHeight="1" x14ac:dyDescent="0.25">
      <c r="A18" s="12">
        <v>44490</v>
      </c>
      <c r="B18" s="13">
        <v>2816605</v>
      </c>
      <c r="C18" s="13" t="s">
        <v>9</v>
      </c>
      <c r="D18" s="127">
        <v>0</v>
      </c>
      <c r="E18" s="13"/>
      <c r="F18" s="13" t="s">
        <v>130</v>
      </c>
      <c r="G18" s="13" t="s">
        <v>46</v>
      </c>
      <c r="H18" s="13" t="s">
        <v>89</v>
      </c>
      <c r="I18" s="13" t="s">
        <v>127</v>
      </c>
      <c r="J18" s="13" t="s">
        <v>128</v>
      </c>
      <c r="K18" s="13" t="s">
        <v>129</v>
      </c>
      <c r="L18" s="13">
        <v>600</v>
      </c>
      <c r="M18" s="13">
        <v>0</v>
      </c>
      <c r="N18" s="13" t="s">
        <v>10</v>
      </c>
      <c r="O18" s="642"/>
      <c r="P18" s="671"/>
      <c r="Q18" s="634"/>
    </row>
    <row r="19" spans="1:17" ht="25.5" customHeight="1" x14ac:dyDescent="0.25">
      <c r="A19" s="14">
        <v>44492</v>
      </c>
      <c r="B19" s="15">
        <v>3038481</v>
      </c>
      <c r="C19" s="15" t="s">
        <v>50</v>
      </c>
      <c r="D19" s="129">
        <v>101999.6</v>
      </c>
      <c r="E19" s="15" t="s">
        <v>68</v>
      </c>
      <c r="F19" s="15" t="s">
        <v>46</v>
      </c>
      <c r="G19" s="15" t="s">
        <v>79</v>
      </c>
      <c r="H19" s="15" t="s">
        <v>89</v>
      </c>
      <c r="I19" s="15" t="s">
        <v>127</v>
      </c>
      <c r="J19" s="15" t="s">
        <v>128</v>
      </c>
      <c r="K19" s="15" t="s">
        <v>129</v>
      </c>
      <c r="L19" s="15">
        <v>672</v>
      </c>
      <c r="M19" s="15">
        <v>29040</v>
      </c>
      <c r="N19" s="15" t="s">
        <v>38</v>
      </c>
      <c r="O19" s="647">
        <v>9516.5626799999991</v>
      </c>
      <c r="P19" s="670">
        <f>O19/D19*100</f>
        <v>9.3299999999999983</v>
      </c>
      <c r="Q19" s="632">
        <f>D19/(L19+L20)</f>
        <v>75.892559523809524</v>
      </c>
    </row>
    <row r="20" spans="1:17" ht="25.5" customHeight="1" x14ac:dyDescent="0.25">
      <c r="A20" s="14">
        <v>44495</v>
      </c>
      <c r="B20" s="15">
        <v>2816604</v>
      </c>
      <c r="C20" s="15" t="s">
        <v>9</v>
      </c>
      <c r="D20" s="129">
        <v>0</v>
      </c>
      <c r="E20" s="15"/>
      <c r="F20" s="15" t="s">
        <v>79</v>
      </c>
      <c r="G20" s="15" t="s">
        <v>46</v>
      </c>
      <c r="H20" s="15" t="s">
        <v>89</v>
      </c>
      <c r="I20" s="15" t="s">
        <v>127</v>
      </c>
      <c r="J20" s="15" t="s">
        <v>128</v>
      </c>
      <c r="K20" s="15" t="s">
        <v>129</v>
      </c>
      <c r="L20" s="15">
        <v>672</v>
      </c>
      <c r="M20" s="15">
        <v>0</v>
      </c>
      <c r="N20" s="15" t="s">
        <v>10</v>
      </c>
      <c r="O20" s="648"/>
      <c r="P20" s="670"/>
      <c r="Q20" s="632"/>
    </row>
    <row r="21" spans="1:17" ht="25.5" customHeight="1" x14ac:dyDescent="0.25">
      <c r="A21" s="6">
        <v>44496</v>
      </c>
      <c r="B21" s="7">
        <v>3040598</v>
      </c>
      <c r="C21" s="7" t="s">
        <v>50</v>
      </c>
      <c r="D21" s="8">
        <v>100770.29</v>
      </c>
      <c r="E21" s="7" t="s">
        <v>68</v>
      </c>
      <c r="F21" s="7" t="s">
        <v>46</v>
      </c>
      <c r="G21" s="7" t="s">
        <v>131</v>
      </c>
      <c r="H21" s="7" t="s">
        <v>89</v>
      </c>
      <c r="I21" s="7" t="s">
        <v>127</v>
      </c>
      <c r="J21" s="7" t="s">
        <v>128</v>
      </c>
      <c r="K21" s="7" t="s">
        <v>129</v>
      </c>
      <c r="L21" s="7">
        <v>672</v>
      </c>
      <c r="M21" s="7">
        <v>28840</v>
      </c>
      <c r="N21" s="7" t="s">
        <v>38</v>
      </c>
      <c r="O21" s="8">
        <v>9401.8680569999997</v>
      </c>
      <c r="P21" s="39">
        <f>O21/D21*100</f>
        <v>9.33</v>
      </c>
      <c r="Q21" s="24">
        <f>D21/L21</f>
        <v>149.95578869047617</v>
      </c>
    </row>
    <row r="22" spans="1:17" x14ac:dyDescent="0.25">
      <c r="A22" s="9"/>
      <c r="B22" s="9"/>
      <c r="C22" s="9"/>
      <c r="D22" s="18">
        <f>SUM(D4:D21)</f>
        <v>871507.5</v>
      </c>
      <c r="E22" s="9"/>
      <c r="F22" s="9"/>
      <c r="G22" s="9"/>
      <c r="H22" s="9"/>
      <c r="I22" s="9"/>
      <c r="J22" s="9"/>
      <c r="K22" s="9"/>
      <c r="L22" s="9">
        <f>SUM(L4:L21)</f>
        <v>11157</v>
      </c>
      <c r="M22" s="9"/>
      <c r="N22" s="9"/>
      <c r="O22" s="24">
        <f>SUM(O4:O21)</f>
        <v>81311.649749999997</v>
      </c>
      <c r="P22" s="39">
        <f>O22/D22*100</f>
        <v>9.33</v>
      </c>
      <c r="Q22" s="26">
        <f>D22/L22</f>
        <v>78.113068029040065</v>
      </c>
    </row>
    <row r="24" spans="1:17" x14ac:dyDescent="0.25">
      <c r="A24" s="138" t="s">
        <v>27</v>
      </c>
      <c r="B24" s="139" t="s">
        <v>328</v>
      </c>
      <c r="C24" s="9" t="s">
        <v>385</v>
      </c>
      <c r="P24" s="29"/>
    </row>
    <row r="25" spans="1:17" x14ac:dyDescent="0.25">
      <c r="A25" s="140">
        <f>O22</f>
        <v>81311.649749999997</v>
      </c>
      <c r="B25" s="136"/>
      <c r="C25" s="39">
        <f>A25/D22*100</f>
        <v>9.33</v>
      </c>
      <c r="P25" s="29"/>
    </row>
  </sheetData>
  <sortState xmlns:xlrd2="http://schemas.microsoft.com/office/spreadsheetml/2017/richdata2" ref="A2:P20">
    <sortCondition ref="A1"/>
  </sortState>
  <mergeCells count="25">
    <mergeCell ref="A1:Q2"/>
    <mergeCell ref="Q7:Q8"/>
    <mergeCell ref="P7:P8"/>
    <mergeCell ref="O7:O8"/>
    <mergeCell ref="Q5:Q6"/>
    <mergeCell ref="P5:P6"/>
    <mergeCell ref="O5:O6"/>
    <mergeCell ref="Q11:Q12"/>
    <mergeCell ref="P11:P12"/>
    <mergeCell ref="O11:O12"/>
    <mergeCell ref="Q9:Q10"/>
    <mergeCell ref="P9:P10"/>
    <mergeCell ref="O9:O10"/>
    <mergeCell ref="Q15:Q16"/>
    <mergeCell ref="P15:P16"/>
    <mergeCell ref="O15:O16"/>
    <mergeCell ref="Q13:Q14"/>
    <mergeCell ref="P13:P14"/>
    <mergeCell ref="O13:O14"/>
    <mergeCell ref="Q19:Q20"/>
    <mergeCell ref="P19:P20"/>
    <mergeCell ref="O19:O20"/>
    <mergeCell ref="Q17:Q18"/>
    <mergeCell ref="P17:P18"/>
    <mergeCell ref="O17:O18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5" tint="0.39997558519241921"/>
  </sheetPr>
  <dimension ref="A1:N33"/>
  <sheetViews>
    <sheetView workbookViewId="0">
      <selection activeCell="E33" sqref="E33"/>
    </sheetView>
  </sheetViews>
  <sheetFormatPr baseColWidth="10" defaultRowHeight="15" x14ac:dyDescent="0.25"/>
  <cols>
    <col min="1" max="1" width="15" bestFit="1" customWidth="1"/>
    <col min="2" max="2" width="17.140625" bestFit="1" customWidth="1"/>
    <col min="3" max="3" width="3.28515625" customWidth="1"/>
    <col min="4" max="4" width="15" bestFit="1" customWidth="1"/>
    <col min="5" max="5" width="15.5703125" bestFit="1" customWidth="1"/>
    <col min="6" max="6" width="3.28515625" customWidth="1"/>
    <col min="7" max="7" width="15" bestFit="1" customWidth="1"/>
    <col min="8" max="8" width="17.140625" bestFit="1" customWidth="1"/>
    <col min="9" max="9" width="3.28515625" customWidth="1"/>
    <col min="10" max="10" width="15" bestFit="1" customWidth="1"/>
    <col min="11" max="11" width="17.140625" bestFit="1" customWidth="1"/>
    <col min="12" max="12" width="3.28515625" customWidth="1"/>
    <col min="13" max="13" width="15" bestFit="1" customWidth="1"/>
    <col min="14" max="14" width="17.140625" bestFit="1" customWidth="1"/>
  </cols>
  <sheetData>
    <row r="1" spans="1:14" x14ac:dyDescent="0.25">
      <c r="A1" s="685" t="s">
        <v>510</v>
      </c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685"/>
      <c r="N1" s="685"/>
    </row>
    <row r="3" spans="1:14" ht="15" customHeight="1" x14ac:dyDescent="0.25">
      <c r="A3" s="681" t="s">
        <v>440</v>
      </c>
      <c r="B3" s="682"/>
      <c r="D3" s="681" t="s">
        <v>442</v>
      </c>
      <c r="E3" s="682"/>
      <c r="G3" s="681" t="s">
        <v>438</v>
      </c>
      <c r="H3" s="682"/>
      <c r="J3" s="681" t="s">
        <v>499</v>
      </c>
      <c r="K3" s="682"/>
      <c r="M3" s="681" t="s">
        <v>292</v>
      </c>
      <c r="N3" s="682"/>
    </row>
    <row r="4" spans="1:14" ht="15" customHeight="1" x14ac:dyDescent="0.25">
      <c r="A4" s="683"/>
      <c r="B4" s="684"/>
      <c r="D4" s="683"/>
      <c r="E4" s="684"/>
      <c r="G4" s="683"/>
      <c r="H4" s="684"/>
      <c r="J4" s="683"/>
      <c r="K4" s="684"/>
      <c r="M4" s="683"/>
      <c r="N4" s="684"/>
    </row>
    <row r="5" spans="1:14" ht="15.75" x14ac:dyDescent="0.25">
      <c r="A5" s="162" t="s">
        <v>508</v>
      </c>
      <c r="B5" s="163">
        <f>'PATENTE PROVINCIAL'!N6</f>
        <v>930.8</v>
      </c>
      <c r="D5" s="162" t="s">
        <v>508</v>
      </c>
      <c r="E5" s="163">
        <f>'PATENTE PROVINCIAL'!N7</f>
        <v>930.8</v>
      </c>
      <c r="G5" s="162" t="s">
        <v>508</v>
      </c>
      <c r="H5" s="163">
        <f>'PATENTE PROVINCIAL'!N8</f>
        <v>754.4</v>
      </c>
      <c r="J5" s="162" t="s">
        <v>508</v>
      </c>
      <c r="K5" s="163"/>
      <c r="M5" s="162" t="s">
        <v>508</v>
      </c>
      <c r="N5" s="163"/>
    </row>
    <row r="6" spans="1:14" ht="15.75" x14ac:dyDescent="0.25">
      <c r="A6" s="162" t="s">
        <v>336</v>
      </c>
      <c r="B6" s="163">
        <f>'PATENTE MUNICIPAL'!I6</f>
        <v>1302.3866666666665</v>
      </c>
      <c r="D6" s="162" t="s">
        <v>336</v>
      </c>
      <c r="E6" s="163">
        <f>'PATENTE MUNICIPAL'!I7</f>
        <v>1302.3866666666665</v>
      </c>
      <c r="G6" s="162" t="s">
        <v>336</v>
      </c>
      <c r="H6" s="163">
        <f>'PATENTE MUNICIPAL'!I8</f>
        <v>1055.56</v>
      </c>
      <c r="J6" s="162" t="s">
        <v>336</v>
      </c>
      <c r="K6" s="163">
        <f>'PATENTE MUNICIPAL'!I19</f>
        <v>846.97666666666657</v>
      </c>
      <c r="M6" s="162" t="s">
        <v>336</v>
      </c>
      <c r="N6" s="163">
        <f>'PATENTE MUNICIPAL'!I20</f>
        <v>528.22666666666669</v>
      </c>
    </row>
    <row r="7" spans="1:14" ht="15.75" x14ac:dyDescent="0.25">
      <c r="A7" s="162" t="s">
        <v>337</v>
      </c>
      <c r="B7" s="163">
        <f>SEGURO!K6</f>
        <v>248.33218785578745</v>
      </c>
      <c r="D7" s="162" t="s">
        <v>337</v>
      </c>
      <c r="E7" s="163">
        <f>SEGURO!K7</f>
        <v>248.33218785578745</v>
      </c>
      <c r="G7" s="162" t="s">
        <v>337</v>
      </c>
      <c r="H7" s="163">
        <f>SEGURO!K8</f>
        <v>248.33218785578745</v>
      </c>
      <c r="J7" s="162" t="s">
        <v>337</v>
      </c>
      <c r="K7" s="163">
        <f>SEGURO!K19</f>
        <v>210.03783301707779</v>
      </c>
      <c r="M7" s="162" t="s">
        <v>337</v>
      </c>
      <c r="N7" s="163">
        <f>SEGURO!K20</f>
        <v>210.03783301707779</v>
      </c>
    </row>
    <row r="8" spans="1:14" ht="15.75" x14ac:dyDescent="0.25">
      <c r="A8" s="162" t="s">
        <v>339</v>
      </c>
      <c r="B8" s="163">
        <f>'GASTOS SEMI'!H5</f>
        <v>1252.6099999999999</v>
      </c>
      <c r="D8" s="162" t="s">
        <v>339</v>
      </c>
      <c r="E8" s="163">
        <f>'GASTOS SEMI'!H7</f>
        <v>1252.6099999999999</v>
      </c>
      <c r="G8" s="162" t="s">
        <v>339</v>
      </c>
      <c r="H8" s="163">
        <f>'GASTOS SEMI'!H9</f>
        <v>1252.6099999999999</v>
      </c>
      <c r="J8" s="162" t="s">
        <v>339</v>
      </c>
      <c r="K8" s="163">
        <f>'GASTOS SEMI'!H26</f>
        <v>1252.6099999999999</v>
      </c>
      <c r="M8" s="162" t="s">
        <v>339</v>
      </c>
      <c r="N8" s="163">
        <f>'GASTOS SEMI'!H30</f>
        <v>6346.21</v>
      </c>
    </row>
    <row r="9" spans="1:14" ht="18.75" x14ac:dyDescent="0.25">
      <c r="A9" s="164" t="s">
        <v>509</v>
      </c>
      <c r="B9" s="165">
        <f>-B5-B6-B7-B8</f>
        <v>-3734.1288545224543</v>
      </c>
      <c r="D9" s="164" t="s">
        <v>509</v>
      </c>
      <c r="E9" s="165">
        <f>-E5-E6-E7-E8</f>
        <v>-3734.1288545224543</v>
      </c>
      <c r="G9" s="164" t="s">
        <v>509</v>
      </c>
      <c r="H9" s="165">
        <f>-H5-H6-H7-H8</f>
        <v>-3310.9021878557878</v>
      </c>
      <c r="J9" s="164" t="s">
        <v>509</v>
      </c>
      <c r="K9" s="165">
        <f>-K5-K6-K7-K8</f>
        <v>-2309.624499683744</v>
      </c>
      <c r="M9" s="164" t="s">
        <v>509</v>
      </c>
      <c r="N9" s="165">
        <f>-N5-N6-N7-N8</f>
        <v>-7084.4744996837444</v>
      </c>
    </row>
    <row r="11" spans="1:14" ht="15" customHeight="1" x14ac:dyDescent="0.25">
      <c r="A11" s="681" t="s">
        <v>410</v>
      </c>
      <c r="B11" s="682"/>
      <c r="D11" s="681" t="s">
        <v>434</v>
      </c>
      <c r="E11" s="682"/>
      <c r="G11" s="681" t="s">
        <v>445</v>
      </c>
      <c r="H11" s="682"/>
      <c r="J11" s="681" t="s">
        <v>430</v>
      </c>
      <c r="K11" s="682"/>
      <c r="M11" s="681" t="s">
        <v>305</v>
      </c>
      <c r="N11" s="682"/>
    </row>
    <row r="12" spans="1:14" ht="15" customHeight="1" x14ac:dyDescent="0.25">
      <c r="A12" s="683"/>
      <c r="B12" s="684"/>
      <c r="D12" s="683"/>
      <c r="E12" s="684"/>
      <c r="G12" s="683"/>
      <c r="H12" s="684"/>
      <c r="J12" s="683"/>
      <c r="K12" s="684"/>
      <c r="M12" s="683"/>
      <c r="N12" s="684"/>
    </row>
    <row r="13" spans="1:14" ht="15.75" x14ac:dyDescent="0.25">
      <c r="A13" s="162" t="s">
        <v>508</v>
      </c>
      <c r="B13" s="163"/>
      <c r="D13" s="162" t="s">
        <v>508</v>
      </c>
      <c r="E13" s="163"/>
      <c r="G13" s="162" t="s">
        <v>508</v>
      </c>
      <c r="H13" s="163"/>
      <c r="J13" s="162" t="s">
        <v>508</v>
      </c>
      <c r="K13" s="163"/>
      <c r="M13" s="162" t="s">
        <v>508</v>
      </c>
      <c r="N13" s="163"/>
    </row>
    <row r="14" spans="1:14" ht="15.75" x14ac:dyDescent="0.25">
      <c r="A14" s="162" t="s">
        <v>336</v>
      </c>
      <c r="B14" s="163">
        <f>'PATENTE MUNICIPAL'!I22</f>
        <v>20.833333333333332</v>
      </c>
      <c r="D14" s="162" t="s">
        <v>336</v>
      </c>
      <c r="E14" s="163">
        <f>'PATENTE MUNICIPAL'!I24</f>
        <v>20.833333333333332</v>
      </c>
      <c r="G14" s="162" t="s">
        <v>336</v>
      </c>
      <c r="H14" s="163">
        <f>'PATENTE MUNICIPAL'!I25</f>
        <v>20.833333333333332</v>
      </c>
      <c r="J14" s="162" t="s">
        <v>336</v>
      </c>
      <c r="K14" s="163"/>
      <c r="M14" s="162" t="s">
        <v>336</v>
      </c>
      <c r="N14" s="163">
        <f>'PATENTE MUNICIPAL'!I28</f>
        <v>20.833333333333332</v>
      </c>
    </row>
    <row r="15" spans="1:14" ht="15.75" x14ac:dyDescent="0.25">
      <c r="A15" s="162" t="s">
        <v>337</v>
      </c>
      <c r="B15" s="163">
        <f>SEGURO!K25</f>
        <v>1181.1225104364328</v>
      </c>
      <c r="D15" s="162" t="s">
        <v>337</v>
      </c>
      <c r="E15" s="163">
        <f>SEGURO!K27</f>
        <v>261.09831688804553</v>
      </c>
      <c r="G15" s="162" t="s">
        <v>337</v>
      </c>
      <c r="H15" s="163">
        <f>SEGURO!K28</f>
        <v>261.09831688804553</v>
      </c>
      <c r="J15" s="162" t="s">
        <v>337</v>
      </c>
      <c r="K15" s="163">
        <f>SEGURO!K29</f>
        <v>262.87788678051868</v>
      </c>
      <c r="M15" s="162" t="s">
        <v>337</v>
      </c>
      <c r="N15" s="163">
        <f>SEGURO!K32</f>
        <v>261.09831688804553</v>
      </c>
    </row>
    <row r="16" spans="1:14" ht="15.75" x14ac:dyDescent="0.25">
      <c r="A16" s="162" t="s">
        <v>339</v>
      </c>
      <c r="B16" s="163"/>
      <c r="D16" s="162" t="s">
        <v>339</v>
      </c>
      <c r="E16" s="163">
        <f>'GASTOS SEMI'!H43</f>
        <v>1252.6099999999999</v>
      </c>
      <c r="G16" s="162" t="s">
        <v>339</v>
      </c>
      <c r="H16" s="163"/>
      <c r="J16" s="162" t="s">
        <v>339</v>
      </c>
      <c r="K16" s="163"/>
      <c r="M16" s="162" t="s">
        <v>339</v>
      </c>
      <c r="N16" s="163">
        <f>'GASTOS SEMI'!H51</f>
        <v>3883.44</v>
      </c>
    </row>
    <row r="17" spans="1:14" ht="18.75" x14ac:dyDescent="0.25">
      <c r="A17" s="164" t="s">
        <v>509</v>
      </c>
      <c r="B17" s="165">
        <f>-B13-B14-B15-B16</f>
        <v>-1201.955843769766</v>
      </c>
      <c r="D17" s="164" t="s">
        <v>509</v>
      </c>
      <c r="E17" s="165">
        <f>-E13-E14-E15-E16</f>
        <v>-1534.5416502213789</v>
      </c>
      <c r="G17" s="164" t="s">
        <v>509</v>
      </c>
      <c r="H17" s="165">
        <f>-H13-H14-H15-H16</f>
        <v>-281.93165022137885</v>
      </c>
      <c r="J17" s="164" t="s">
        <v>509</v>
      </c>
      <c r="K17" s="165">
        <f>-K13-K14-K15-K16</f>
        <v>-262.87788678051868</v>
      </c>
      <c r="M17" s="164" t="s">
        <v>509</v>
      </c>
      <c r="N17" s="165">
        <f>-N13-N14-N15-N16</f>
        <v>-4165.3716502213792</v>
      </c>
    </row>
    <row r="19" spans="1:14" ht="15" customHeight="1" x14ac:dyDescent="0.25">
      <c r="A19" s="681" t="s">
        <v>482</v>
      </c>
      <c r="B19" s="682"/>
      <c r="D19" s="681" t="s">
        <v>243</v>
      </c>
      <c r="E19" s="682"/>
      <c r="G19" s="681" t="s">
        <v>189</v>
      </c>
      <c r="H19" s="682"/>
      <c r="J19" s="681" t="s">
        <v>179</v>
      </c>
      <c r="K19" s="682"/>
      <c r="M19" s="681" t="s">
        <v>471</v>
      </c>
      <c r="N19" s="682"/>
    </row>
    <row r="20" spans="1:14" ht="15" customHeight="1" x14ac:dyDescent="0.25">
      <c r="A20" s="683"/>
      <c r="B20" s="684"/>
      <c r="D20" s="683"/>
      <c r="E20" s="684"/>
      <c r="G20" s="683"/>
      <c r="H20" s="684"/>
      <c r="J20" s="683"/>
      <c r="K20" s="684"/>
      <c r="M20" s="683"/>
      <c r="N20" s="684"/>
    </row>
    <row r="21" spans="1:14" ht="15.75" x14ac:dyDescent="0.25">
      <c r="A21" s="162" t="s">
        <v>508</v>
      </c>
      <c r="B21" s="163"/>
      <c r="D21" s="162" t="s">
        <v>508</v>
      </c>
      <c r="E21" s="163"/>
      <c r="G21" s="162" t="s">
        <v>508</v>
      </c>
      <c r="H21" s="163"/>
      <c r="J21" s="162" t="s">
        <v>508</v>
      </c>
      <c r="K21" s="163"/>
      <c r="M21" s="162" t="s">
        <v>508</v>
      </c>
      <c r="N21" s="163"/>
    </row>
    <row r="22" spans="1:14" ht="15.75" x14ac:dyDescent="0.25">
      <c r="A22" s="162" t="s">
        <v>336</v>
      </c>
      <c r="B22" s="163">
        <f>'PATENTE MUNICIPAL'!I29</f>
        <v>20.833333333333332</v>
      </c>
      <c r="D22" s="162" t="s">
        <v>289</v>
      </c>
      <c r="E22" s="163">
        <f>'PATENTE MUNICIPAL'!I30</f>
        <v>20.833333333333332</v>
      </c>
      <c r="G22" s="162" t="s">
        <v>336</v>
      </c>
      <c r="H22" s="163">
        <f>'PATENTE MUNICIPAL'!I32</f>
        <v>20.833333333333332</v>
      </c>
      <c r="J22" s="162" t="s">
        <v>336</v>
      </c>
      <c r="K22" s="163">
        <f>'PATENTE MUNICIPAL'!I36</f>
        <v>20.833333333333332</v>
      </c>
      <c r="M22" s="162" t="s">
        <v>336</v>
      </c>
      <c r="N22" s="163">
        <f>'PATENTE MUNICIPAL'!I48</f>
        <v>20.833333333333332</v>
      </c>
    </row>
    <row r="23" spans="1:14" ht="15.75" x14ac:dyDescent="0.25">
      <c r="A23" s="162" t="s">
        <v>337</v>
      </c>
      <c r="B23" s="163">
        <f>SEGURO!K33</f>
        <v>261.09831688804553</v>
      </c>
      <c r="D23" s="162" t="s">
        <v>337</v>
      </c>
      <c r="E23" s="163">
        <f>SEGURO!K34</f>
        <v>261.09831688804553</v>
      </c>
      <c r="G23" s="162" t="s">
        <v>337</v>
      </c>
      <c r="H23" s="163">
        <f>SEGURO!K36</f>
        <v>261.09831688804553</v>
      </c>
      <c r="J23" s="162" t="s">
        <v>337</v>
      </c>
      <c r="K23" s="163">
        <f>SEGURO!K40</f>
        <v>261.09831688804553</v>
      </c>
      <c r="M23" s="162" t="s">
        <v>337</v>
      </c>
      <c r="N23" s="163">
        <f>SEGURO!K52</f>
        <v>261.09831688804553</v>
      </c>
    </row>
    <row r="24" spans="1:14" ht="15.75" x14ac:dyDescent="0.25">
      <c r="A24" s="162" t="s">
        <v>339</v>
      </c>
      <c r="B24" s="163">
        <f>'GASTOS SEMI'!H53</f>
        <v>900</v>
      </c>
      <c r="D24" s="162" t="s">
        <v>339</v>
      </c>
      <c r="E24" s="163">
        <f>'GASTOS SEMI'!H58</f>
        <v>2738.9700000000003</v>
      </c>
      <c r="G24" s="162" t="s">
        <v>339</v>
      </c>
      <c r="H24" s="163">
        <f>'GASTOS SEMI'!H66</f>
        <v>24415.603999999999</v>
      </c>
      <c r="J24" s="162" t="s">
        <v>339</v>
      </c>
      <c r="K24" s="163">
        <f>'GASTOS SEMI'!H85</f>
        <v>2068.34</v>
      </c>
      <c r="M24" s="162" t="s">
        <v>339</v>
      </c>
      <c r="N24" s="163">
        <f>'GASTOS SEMI'!H148</f>
        <v>100</v>
      </c>
    </row>
    <row r="25" spans="1:14" ht="18.75" x14ac:dyDescent="0.25">
      <c r="A25" s="164" t="s">
        <v>509</v>
      </c>
      <c r="B25" s="165">
        <f>-B21-B22-B23-B24</f>
        <v>-1181.9316502213787</v>
      </c>
      <c r="D25" s="164" t="s">
        <v>509</v>
      </c>
      <c r="E25" s="165">
        <f>-E21-E22-E23-E24</f>
        <v>-3020.901650221379</v>
      </c>
      <c r="G25" s="164" t="s">
        <v>509</v>
      </c>
      <c r="H25" s="165">
        <f>-H21-H22-H23-H24</f>
        <v>-24697.53565022138</v>
      </c>
      <c r="J25" s="164" t="s">
        <v>509</v>
      </c>
      <c r="K25" s="165">
        <f>-K21-K22-K23-K24</f>
        <v>-2350.2716502213789</v>
      </c>
      <c r="M25" s="164" t="s">
        <v>509</v>
      </c>
      <c r="N25" s="165">
        <f>-N21-N22-N23-N24</f>
        <v>-381.93165022137885</v>
      </c>
    </row>
    <row r="27" spans="1:14" ht="15" customHeight="1" x14ac:dyDescent="0.25">
      <c r="A27" s="681" t="s">
        <v>463</v>
      </c>
      <c r="B27" s="682"/>
      <c r="D27" s="681" t="s">
        <v>423</v>
      </c>
      <c r="E27" s="682"/>
      <c r="G27" s="681" t="s">
        <v>450</v>
      </c>
      <c r="H27" s="682"/>
      <c r="J27" s="681" t="s">
        <v>452</v>
      </c>
      <c r="K27" s="682"/>
    </row>
    <row r="28" spans="1:14" ht="15" customHeight="1" x14ac:dyDescent="0.25">
      <c r="A28" s="683"/>
      <c r="B28" s="684"/>
      <c r="D28" s="683"/>
      <c r="E28" s="684"/>
      <c r="G28" s="683"/>
      <c r="H28" s="684"/>
      <c r="J28" s="683"/>
      <c r="K28" s="684"/>
    </row>
    <row r="29" spans="1:14" ht="15.75" x14ac:dyDescent="0.25">
      <c r="A29" s="162" t="s">
        <v>508</v>
      </c>
      <c r="B29" s="163"/>
      <c r="D29" s="162" t="s">
        <v>508</v>
      </c>
      <c r="E29" s="163">
        <f>'PATENTE PROVINCIAL'!N56</f>
        <v>1478.1</v>
      </c>
      <c r="G29" s="162" t="s">
        <v>508</v>
      </c>
      <c r="H29" s="163">
        <f>'PATENTE PROVINCIAL'!N59</f>
        <v>282.8</v>
      </c>
      <c r="J29" s="162" t="s">
        <v>508</v>
      </c>
      <c r="K29" s="163">
        <f>'PATENTE PROVINCIAL'!N60</f>
        <v>282.8</v>
      </c>
    </row>
    <row r="30" spans="1:14" ht="15.75" x14ac:dyDescent="0.25">
      <c r="A30" s="162" t="s">
        <v>336</v>
      </c>
      <c r="B30" s="163">
        <f>'PATENTE MUNICIPAL'!I58</f>
        <v>20.833333333333332</v>
      </c>
      <c r="D30" s="162" t="s">
        <v>336</v>
      </c>
      <c r="E30" s="163">
        <f>'PATENTE MUNICIPAL'!I63</f>
        <v>20.833333333333332</v>
      </c>
      <c r="G30" s="162" t="s">
        <v>336</v>
      </c>
      <c r="H30" s="163">
        <f>'PATENTE MUNICIPAL'!I66</f>
        <v>395.64333333333337</v>
      </c>
      <c r="J30" s="162" t="s">
        <v>336</v>
      </c>
      <c r="K30" s="163">
        <f>'PATENTE MUNICIPAL'!I67</f>
        <v>395.64333333333337</v>
      </c>
    </row>
    <row r="31" spans="1:14" ht="15.75" x14ac:dyDescent="0.25">
      <c r="A31" s="162" t="s">
        <v>337</v>
      </c>
      <c r="B31" s="163">
        <f>SEGURO!K62</f>
        <v>261.09831688804553</v>
      </c>
      <c r="D31" s="162" t="s">
        <v>337</v>
      </c>
      <c r="E31" s="163">
        <f>SEGURO!K67</f>
        <v>1234.7206287160027</v>
      </c>
      <c r="G31" s="162" t="s">
        <v>337</v>
      </c>
      <c r="H31" s="163">
        <f>SEGURO!K70</f>
        <v>261.09831688804553</v>
      </c>
      <c r="J31" s="162" t="s">
        <v>337</v>
      </c>
      <c r="K31" s="163">
        <f>SEGURO!K71</f>
        <v>261.09831688804553</v>
      </c>
    </row>
    <row r="32" spans="1:14" ht="15.75" x14ac:dyDescent="0.25">
      <c r="A32" s="162" t="s">
        <v>339</v>
      </c>
      <c r="B32" s="163">
        <f>'GASTOS SEMI'!H166</f>
        <v>360</v>
      </c>
      <c r="D32" s="162" t="s">
        <v>339</v>
      </c>
      <c r="E32" s="163">
        <f>'GASTOS TRACTOR'!H302</f>
        <v>66502.66</v>
      </c>
      <c r="G32" s="162" t="s">
        <v>339</v>
      </c>
      <c r="H32" s="163">
        <f>'GASTOS SEMI'!H176</f>
        <v>1252.6099999999999</v>
      </c>
      <c r="J32" s="162" t="s">
        <v>339</v>
      </c>
      <c r="K32" s="163">
        <f>'GASTOS SEMI'!H178</f>
        <v>1252.6099999999999</v>
      </c>
    </row>
    <row r="33" spans="1:11" ht="18.75" x14ac:dyDescent="0.25">
      <c r="A33" s="164" t="s">
        <v>509</v>
      </c>
      <c r="B33" s="165">
        <f>-B29-B30-B31-B32</f>
        <v>-641.93165022137885</v>
      </c>
      <c r="D33" s="164" t="s">
        <v>509</v>
      </c>
      <c r="E33" s="165">
        <f>-E29-E30-E31-E32</f>
        <v>-69236.313962049346</v>
      </c>
      <c r="G33" s="164" t="s">
        <v>509</v>
      </c>
      <c r="H33" s="165">
        <f>-H29-H30-H31-H32</f>
        <v>-2192.151650221379</v>
      </c>
      <c r="J33" s="164" t="s">
        <v>509</v>
      </c>
      <c r="K33" s="165">
        <f>-K29-K30-K31-K32</f>
        <v>-2192.151650221379</v>
      </c>
    </row>
  </sheetData>
  <mergeCells count="20">
    <mergeCell ref="A1:N1"/>
    <mergeCell ref="A3:B4"/>
    <mergeCell ref="D3:E4"/>
    <mergeCell ref="G3:H4"/>
    <mergeCell ref="J3:K4"/>
    <mergeCell ref="M3:N4"/>
    <mergeCell ref="M11:N12"/>
    <mergeCell ref="A19:B20"/>
    <mergeCell ref="D19:E20"/>
    <mergeCell ref="G19:H20"/>
    <mergeCell ref="J19:K20"/>
    <mergeCell ref="M19:N20"/>
    <mergeCell ref="A27:B28"/>
    <mergeCell ref="D27:E28"/>
    <mergeCell ref="G27:H28"/>
    <mergeCell ref="J27:K28"/>
    <mergeCell ref="A11:B12"/>
    <mergeCell ref="D11:E12"/>
    <mergeCell ref="G11:H12"/>
    <mergeCell ref="J11:K1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7030A0"/>
  </sheetPr>
  <dimension ref="A1:N94"/>
  <sheetViews>
    <sheetView workbookViewId="0">
      <selection activeCell="M4" sqref="M4:N10"/>
    </sheetView>
  </sheetViews>
  <sheetFormatPr baseColWidth="10" defaultRowHeight="15" x14ac:dyDescent="0.25"/>
  <cols>
    <col min="1" max="1" width="11.28515625" style="2" customWidth="1"/>
    <col min="2" max="2" width="43.85546875" style="2" hidden="1" customWidth="1"/>
    <col min="3" max="3" width="35.140625" style="108" hidden="1" customWidth="1"/>
    <col min="4" max="4" width="11.7109375" style="2" hidden="1" customWidth="1"/>
    <col min="5" max="5" width="18" style="2" hidden="1" customWidth="1"/>
    <col min="6" max="6" width="17.140625" style="2" hidden="1" customWidth="1"/>
    <col min="7" max="7" width="0" style="2" hidden="1" customWidth="1"/>
    <col min="8" max="8" width="13.42578125" style="2" hidden="1" customWidth="1"/>
    <col min="9" max="9" width="0" style="2" hidden="1" customWidth="1"/>
    <col min="10" max="10" width="15.7109375" style="2" hidden="1" customWidth="1"/>
    <col min="11" max="11" width="12.5703125" style="25" customWidth="1"/>
    <col min="12" max="16384" width="11.42578125" style="2"/>
  </cols>
  <sheetData>
    <row r="1" spans="1:14" ht="15" customHeight="1" x14ac:dyDescent="0.25">
      <c r="A1" s="686" t="s">
        <v>505</v>
      </c>
      <c r="B1" s="686"/>
      <c r="C1" s="686"/>
      <c r="D1" s="686"/>
      <c r="E1" s="686"/>
      <c r="F1" s="686"/>
      <c r="G1" s="686"/>
      <c r="H1" s="686"/>
      <c r="I1" s="686"/>
      <c r="J1" s="686"/>
      <c r="K1" s="686"/>
    </row>
    <row r="2" spans="1:14" ht="15" customHeight="1" x14ac:dyDescent="0.25">
      <c r="A2" s="686"/>
      <c r="B2" s="686"/>
      <c r="C2" s="686"/>
      <c r="D2" s="686"/>
      <c r="E2" s="686"/>
      <c r="F2" s="686"/>
      <c r="G2" s="686"/>
      <c r="H2" s="686"/>
      <c r="I2" s="686"/>
      <c r="J2" s="686"/>
      <c r="K2" s="686"/>
    </row>
    <row r="3" spans="1:14" s="104" customFormat="1" ht="15" customHeight="1" thickBot="1" x14ac:dyDescent="0.3">
      <c r="A3" s="145"/>
      <c r="B3" s="145"/>
      <c r="C3" s="145"/>
      <c r="D3" s="145"/>
      <c r="E3" s="145"/>
      <c r="F3" s="145"/>
      <c r="G3" s="145"/>
      <c r="H3" s="145"/>
      <c r="I3" s="145"/>
      <c r="J3" s="145"/>
      <c r="K3" s="152"/>
    </row>
    <row r="4" spans="1:14" s="148" customFormat="1" ht="15.75" thickBot="1" x14ac:dyDescent="0.3">
      <c r="A4" s="147" t="s">
        <v>506</v>
      </c>
      <c r="B4" s="147" t="s">
        <v>390</v>
      </c>
      <c r="C4" s="147" t="s">
        <v>391</v>
      </c>
      <c r="D4" s="147" t="s">
        <v>392</v>
      </c>
      <c r="E4" s="147" t="s">
        <v>393</v>
      </c>
      <c r="F4" s="147" t="s">
        <v>394</v>
      </c>
      <c r="G4" s="146" t="s">
        <v>395</v>
      </c>
      <c r="H4" s="146" t="s">
        <v>396</v>
      </c>
      <c r="I4" s="146" t="s">
        <v>397</v>
      </c>
      <c r="J4" s="146" t="s">
        <v>398</v>
      </c>
      <c r="K4" s="26" t="s">
        <v>507</v>
      </c>
      <c r="M4" s="687" t="s">
        <v>511</v>
      </c>
      <c r="N4" s="688"/>
    </row>
    <row r="5" spans="1:14" ht="15.75" thickBot="1" x14ac:dyDescent="0.3">
      <c r="A5" s="169" t="s">
        <v>399</v>
      </c>
      <c r="B5" s="169" t="s">
        <v>400</v>
      </c>
      <c r="C5" s="169" t="s">
        <v>401</v>
      </c>
      <c r="D5" s="170"/>
      <c r="E5" s="170">
        <f>35097.66</f>
        <v>35097.660000000003</v>
      </c>
      <c r="F5" s="170">
        <f>-5561.01</f>
        <v>-5561.01</v>
      </c>
      <c r="G5" s="170">
        <f t="shared" ref="G5:G36" si="0">(E5+F5-H5)/1.24</f>
        <v>23674.981593927896</v>
      </c>
      <c r="H5" s="170">
        <f t="shared" ref="H5:H36" si="1">(4755.86+10462.89+16.7+36.74)/85</f>
        <v>179.67282352941177</v>
      </c>
      <c r="I5" s="170">
        <f t="shared" ref="I5:I36" si="2">(G5+F5)*0.21</f>
        <v>3803.9340347248585</v>
      </c>
      <c r="J5" s="170">
        <f>+(G5*0.03)</f>
        <v>710.24944781783688</v>
      </c>
      <c r="K5" s="171">
        <f t="shared" ref="K5:K36" si="3">(G5+H5)/6</f>
        <v>3975.7757362428842</v>
      </c>
      <c r="M5" s="108"/>
      <c r="N5" s="108"/>
    </row>
    <row r="6" spans="1:14" ht="15.75" thickBot="1" x14ac:dyDescent="0.3">
      <c r="A6" s="166" t="s">
        <v>440</v>
      </c>
      <c r="B6" s="166" t="s">
        <v>441</v>
      </c>
      <c r="C6" s="166" t="s">
        <v>408</v>
      </c>
      <c r="D6" s="167"/>
      <c r="E6" s="167">
        <f>1726.57</f>
        <v>1726.57</v>
      </c>
      <c r="F6" s="167">
        <v>77.900000000000006</v>
      </c>
      <c r="G6" s="167">
        <f t="shared" si="0"/>
        <v>1310.320303605313</v>
      </c>
      <c r="H6" s="167">
        <f t="shared" si="1"/>
        <v>179.67282352941177</v>
      </c>
      <c r="I6" s="167">
        <f t="shared" si="2"/>
        <v>291.52626375711577</v>
      </c>
      <c r="J6" s="167">
        <f t="shared" ref="J6:J37" si="4">+G6*0.03</f>
        <v>39.309609108159393</v>
      </c>
      <c r="K6" s="168">
        <f t="shared" si="3"/>
        <v>248.33218785578745</v>
      </c>
      <c r="M6" s="689" t="s">
        <v>512</v>
      </c>
      <c r="N6" s="690"/>
    </row>
    <row r="7" spans="1:14" ht="15.75" thickBot="1" x14ac:dyDescent="0.3">
      <c r="A7" s="166" t="s">
        <v>442</v>
      </c>
      <c r="B7" s="166" t="s">
        <v>443</v>
      </c>
      <c r="C7" s="166" t="s">
        <v>408</v>
      </c>
      <c r="D7" s="167"/>
      <c r="E7" s="167">
        <f>1726.57</f>
        <v>1726.57</v>
      </c>
      <c r="F7" s="167">
        <v>77.900000000000006</v>
      </c>
      <c r="G7" s="167">
        <f t="shared" si="0"/>
        <v>1310.320303605313</v>
      </c>
      <c r="H7" s="167">
        <f t="shared" si="1"/>
        <v>179.67282352941177</v>
      </c>
      <c r="I7" s="167">
        <f t="shared" si="2"/>
        <v>291.52626375711577</v>
      </c>
      <c r="J7" s="167">
        <f t="shared" si="4"/>
        <v>39.309609108159393</v>
      </c>
      <c r="K7" s="168">
        <f t="shared" si="3"/>
        <v>248.33218785578745</v>
      </c>
      <c r="M7" s="108"/>
      <c r="N7" s="108"/>
    </row>
    <row r="8" spans="1:14" ht="15.75" thickBot="1" x14ac:dyDescent="0.3">
      <c r="A8" s="166" t="s">
        <v>438</v>
      </c>
      <c r="B8" s="166" t="s">
        <v>439</v>
      </c>
      <c r="C8" s="166" t="s">
        <v>408</v>
      </c>
      <c r="D8" s="167"/>
      <c r="E8" s="167">
        <f>1726.57</f>
        <v>1726.57</v>
      </c>
      <c r="F8" s="167">
        <v>77.900000000000006</v>
      </c>
      <c r="G8" s="167">
        <f t="shared" si="0"/>
        <v>1310.320303605313</v>
      </c>
      <c r="H8" s="167">
        <f t="shared" si="1"/>
        <v>179.67282352941177</v>
      </c>
      <c r="I8" s="167">
        <f t="shared" si="2"/>
        <v>291.52626375711577</v>
      </c>
      <c r="J8" s="167">
        <f t="shared" si="4"/>
        <v>39.309609108159393</v>
      </c>
      <c r="K8" s="168">
        <f t="shared" si="3"/>
        <v>248.33218785578745</v>
      </c>
      <c r="M8" s="691" t="s">
        <v>513</v>
      </c>
      <c r="N8" s="692"/>
    </row>
    <row r="9" spans="1:14" ht="15.75" thickBot="1" x14ac:dyDescent="0.3">
      <c r="A9" s="155" t="s">
        <v>99</v>
      </c>
      <c r="B9" s="155" t="s">
        <v>412</v>
      </c>
      <c r="C9" s="155" t="s">
        <v>413</v>
      </c>
      <c r="D9" s="156"/>
      <c r="E9" s="156">
        <v>72823.289999999994</v>
      </c>
      <c r="F9" s="156">
        <v>0</v>
      </c>
      <c r="G9" s="156">
        <f t="shared" si="0"/>
        <v>58583.56223908918</v>
      </c>
      <c r="H9" s="156">
        <f t="shared" si="1"/>
        <v>179.67282352941177</v>
      </c>
      <c r="I9" s="156">
        <f t="shared" si="2"/>
        <v>12302.548070208728</v>
      </c>
      <c r="J9" s="156">
        <f t="shared" si="4"/>
        <v>1757.5068671726754</v>
      </c>
      <c r="K9" s="157">
        <f t="shared" si="3"/>
        <v>9793.872510436433</v>
      </c>
      <c r="M9" s="108"/>
      <c r="N9" s="108"/>
    </row>
    <row r="10" spans="1:14" ht="15.75" thickBot="1" x14ac:dyDescent="0.3">
      <c r="A10" s="155" t="s">
        <v>105</v>
      </c>
      <c r="B10" s="155" t="s">
        <v>427</v>
      </c>
      <c r="C10" s="155" t="s">
        <v>413</v>
      </c>
      <c r="D10" s="156"/>
      <c r="E10" s="156">
        <v>68045.87</v>
      </c>
      <c r="F10" s="156">
        <v>0</v>
      </c>
      <c r="G10" s="156">
        <f t="shared" si="0"/>
        <v>54730.804174573052</v>
      </c>
      <c r="H10" s="156">
        <f t="shared" si="1"/>
        <v>179.67282352941177</v>
      </c>
      <c r="I10" s="156">
        <f t="shared" si="2"/>
        <v>11493.468876660341</v>
      </c>
      <c r="J10" s="156">
        <f t="shared" si="4"/>
        <v>1641.9241252371914</v>
      </c>
      <c r="K10" s="157">
        <f t="shared" si="3"/>
        <v>9151.7461663504109</v>
      </c>
      <c r="M10" s="693" t="s">
        <v>514</v>
      </c>
      <c r="N10" s="694"/>
    </row>
    <row r="11" spans="1:14" x14ac:dyDescent="0.25">
      <c r="A11" s="155" t="s">
        <v>117</v>
      </c>
      <c r="B11" s="155" t="s">
        <v>415</v>
      </c>
      <c r="C11" s="155" t="s">
        <v>413</v>
      </c>
      <c r="D11" s="156"/>
      <c r="E11" s="156">
        <v>72823.289999999994</v>
      </c>
      <c r="F11" s="156">
        <v>0</v>
      </c>
      <c r="G11" s="156">
        <f t="shared" si="0"/>
        <v>58583.56223908918</v>
      </c>
      <c r="H11" s="156">
        <f t="shared" si="1"/>
        <v>179.67282352941177</v>
      </c>
      <c r="I11" s="156">
        <f t="shared" si="2"/>
        <v>12302.548070208728</v>
      </c>
      <c r="J11" s="156">
        <f t="shared" si="4"/>
        <v>1757.5068671726754</v>
      </c>
      <c r="K11" s="157">
        <f t="shared" si="3"/>
        <v>9793.872510436433</v>
      </c>
    </row>
    <row r="12" spans="1:14" x14ac:dyDescent="0.25">
      <c r="A12" s="155" t="s">
        <v>123</v>
      </c>
      <c r="B12" s="155" t="s">
        <v>416</v>
      </c>
      <c r="C12" s="155" t="s">
        <v>413</v>
      </c>
      <c r="D12" s="156"/>
      <c r="E12" s="156">
        <v>8733.4699999999993</v>
      </c>
      <c r="F12" s="156">
        <v>0</v>
      </c>
      <c r="G12" s="156">
        <f t="shared" si="0"/>
        <v>6898.2235294117636</v>
      </c>
      <c r="H12" s="156">
        <f t="shared" si="1"/>
        <v>179.67282352941177</v>
      </c>
      <c r="I12" s="156">
        <f t="shared" si="2"/>
        <v>1448.6269411764704</v>
      </c>
      <c r="J12" s="156">
        <f t="shared" si="4"/>
        <v>206.94670588235289</v>
      </c>
      <c r="K12" s="157">
        <f t="shared" si="3"/>
        <v>1179.6493921568626</v>
      </c>
    </row>
    <row r="13" spans="1:14" x14ac:dyDescent="0.25">
      <c r="A13" s="158" t="s">
        <v>246</v>
      </c>
      <c r="B13" s="158" t="s">
        <v>487</v>
      </c>
      <c r="C13" s="158" t="s">
        <v>408</v>
      </c>
      <c r="D13" s="159"/>
      <c r="E13" s="159">
        <f>1726.57</f>
        <v>1726.57</v>
      </c>
      <c r="F13" s="159">
        <v>77.900000000000006</v>
      </c>
      <c r="G13" s="159">
        <f t="shared" si="0"/>
        <v>1310.320303605313</v>
      </c>
      <c r="H13" s="159">
        <f t="shared" si="1"/>
        <v>179.67282352941177</v>
      </c>
      <c r="I13" s="159">
        <f t="shared" si="2"/>
        <v>291.52626375711577</v>
      </c>
      <c r="J13" s="159">
        <f t="shared" si="4"/>
        <v>39.309609108159393</v>
      </c>
      <c r="K13" s="160">
        <f t="shared" si="3"/>
        <v>248.33218785578745</v>
      </c>
    </row>
    <row r="14" spans="1:14" x14ac:dyDescent="0.25">
      <c r="A14" s="158" t="s">
        <v>142</v>
      </c>
      <c r="B14" s="158" t="s">
        <v>493</v>
      </c>
      <c r="C14" s="158" t="s">
        <v>408</v>
      </c>
      <c r="D14" s="159"/>
      <c r="E14" s="159">
        <f>1635.71</f>
        <v>1635.71</v>
      </c>
      <c r="F14" s="159">
        <v>73.8</v>
      </c>
      <c r="G14" s="159">
        <f t="shared" si="0"/>
        <v>1233.7396584440228</v>
      </c>
      <c r="H14" s="159">
        <f t="shared" si="1"/>
        <v>179.67282352941177</v>
      </c>
      <c r="I14" s="159">
        <f t="shared" si="2"/>
        <v>274.58332827324477</v>
      </c>
      <c r="J14" s="159">
        <f t="shared" si="4"/>
        <v>37.012189753320683</v>
      </c>
      <c r="K14" s="160">
        <f t="shared" si="3"/>
        <v>235.56874699557241</v>
      </c>
    </row>
    <row r="15" spans="1:14" x14ac:dyDescent="0.25">
      <c r="A15" s="155" t="s">
        <v>141</v>
      </c>
      <c r="B15" s="155" t="s">
        <v>495</v>
      </c>
      <c r="C15" s="155" t="s">
        <v>408</v>
      </c>
      <c r="D15" s="156"/>
      <c r="E15" s="156">
        <f>7847.92</f>
        <v>7847.92</v>
      </c>
      <c r="F15" s="156">
        <v>369.03</v>
      </c>
      <c r="G15" s="156">
        <f t="shared" si="0"/>
        <v>6481.6751423149908</v>
      </c>
      <c r="H15" s="156">
        <f t="shared" si="1"/>
        <v>179.67282352941177</v>
      </c>
      <c r="I15" s="156">
        <f t="shared" si="2"/>
        <v>1438.648079886148</v>
      </c>
      <c r="J15" s="156">
        <f t="shared" si="4"/>
        <v>194.45025426944972</v>
      </c>
      <c r="K15" s="157">
        <f t="shared" si="3"/>
        <v>1110.2246609740671</v>
      </c>
    </row>
    <row r="16" spans="1:14" x14ac:dyDescent="0.25">
      <c r="A16" s="155" t="s">
        <v>146</v>
      </c>
      <c r="B16" s="155" t="s">
        <v>496</v>
      </c>
      <c r="C16" s="155" t="s">
        <v>408</v>
      </c>
      <c r="D16" s="156"/>
      <c r="E16" s="156">
        <f>7847.92</f>
        <v>7847.92</v>
      </c>
      <c r="F16" s="156">
        <v>369.03</v>
      </c>
      <c r="G16" s="156">
        <f t="shared" si="0"/>
        <v>6481.6751423149908</v>
      </c>
      <c r="H16" s="156">
        <f t="shared" si="1"/>
        <v>179.67282352941177</v>
      </c>
      <c r="I16" s="156">
        <f t="shared" si="2"/>
        <v>1438.648079886148</v>
      </c>
      <c r="J16" s="156">
        <f t="shared" si="4"/>
        <v>194.45025426944972</v>
      </c>
      <c r="K16" s="157">
        <f t="shared" si="3"/>
        <v>1110.2246609740671</v>
      </c>
    </row>
    <row r="17" spans="1:11" x14ac:dyDescent="0.25">
      <c r="A17" s="155" t="s">
        <v>150</v>
      </c>
      <c r="B17" s="155" t="s">
        <v>497</v>
      </c>
      <c r="C17" s="155" t="s">
        <v>408</v>
      </c>
      <c r="D17" s="156"/>
      <c r="E17" s="156">
        <f>7847.92</f>
        <v>7847.92</v>
      </c>
      <c r="F17" s="156">
        <v>369.03</v>
      </c>
      <c r="G17" s="156">
        <f t="shared" si="0"/>
        <v>6481.6751423149908</v>
      </c>
      <c r="H17" s="156">
        <f t="shared" si="1"/>
        <v>179.67282352941177</v>
      </c>
      <c r="I17" s="156">
        <f t="shared" si="2"/>
        <v>1438.648079886148</v>
      </c>
      <c r="J17" s="156">
        <f t="shared" si="4"/>
        <v>194.45025426944972</v>
      </c>
      <c r="K17" s="157">
        <f t="shared" si="3"/>
        <v>1110.2246609740671</v>
      </c>
    </row>
    <row r="18" spans="1:11" x14ac:dyDescent="0.25">
      <c r="A18" s="158" t="s">
        <v>147</v>
      </c>
      <c r="B18" s="158" t="s">
        <v>498</v>
      </c>
      <c r="C18" s="158" t="s">
        <v>408</v>
      </c>
      <c r="D18" s="159"/>
      <c r="E18" s="159">
        <f>1635.71</f>
        <v>1635.71</v>
      </c>
      <c r="F18" s="159">
        <v>73.8</v>
      </c>
      <c r="G18" s="159">
        <f t="shared" si="0"/>
        <v>1233.7396584440228</v>
      </c>
      <c r="H18" s="159">
        <f t="shared" si="1"/>
        <v>179.67282352941177</v>
      </c>
      <c r="I18" s="159">
        <f t="shared" si="2"/>
        <v>274.58332827324477</v>
      </c>
      <c r="J18" s="159">
        <f t="shared" si="4"/>
        <v>37.012189753320683</v>
      </c>
      <c r="K18" s="160">
        <f t="shared" si="3"/>
        <v>235.56874699557241</v>
      </c>
    </row>
    <row r="19" spans="1:11" x14ac:dyDescent="0.25">
      <c r="A19" s="166" t="s">
        <v>499</v>
      </c>
      <c r="B19" s="166" t="s">
        <v>500</v>
      </c>
      <c r="C19" s="166" t="s">
        <v>408</v>
      </c>
      <c r="D19" s="167"/>
      <c r="E19" s="167">
        <f>1453.96</f>
        <v>1453.96</v>
      </c>
      <c r="F19" s="167">
        <v>65.599999999999994</v>
      </c>
      <c r="G19" s="167">
        <f t="shared" si="0"/>
        <v>1080.554174573055</v>
      </c>
      <c r="H19" s="167">
        <f t="shared" si="1"/>
        <v>179.67282352941177</v>
      </c>
      <c r="I19" s="167">
        <f t="shared" si="2"/>
        <v>240.69237666034152</v>
      </c>
      <c r="J19" s="167">
        <f t="shared" si="4"/>
        <v>32.416625237191646</v>
      </c>
      <c r="K19" s="168">
        <f t="shared" si="3"/>
        <v>210.03783301707779</v>
      </c>
    </row>
    <row r="20" spans="1:11" x14ac:dyDescent="0.25">
      <c r="A20" s="166" t="s">
        <v>292</v>
      </c>
      <c r="B20" s="166" t="s">
        <v>501</v>
      </c>
      <c r="C20" s="166" t="s">
        <v>408</v>
      </c>
      <c r="D20" s="167"/>
      <c r="E20" s="167">
        <f>1453.96</f>
        <v>1453.96</v>
      </c>
      <c r="F20" s="167">
        <v>65.599999999999994</v>
      </c>
      <c r="G20" s="167">
        <f t="shared" si="0"/>
        <v>1080.554174573055</v>
      </c>
      <c r="H20" s="167">
        <f t="shared" si="1"/>
        <v>179.67282352941177</v>
      </c>
      <c r="I20" s="167">
        <f t="shared" si="2"/>
        <v>240.69237666034152</v>
      </c>
      <c r="J20" s="167">
        <f t="shared" si="4"/>
        <v>32.416625237191646</v>
      </c>
      <c r="K20" s="168">
        <f t="shared" si="3"/>
        <v>210.03783301707779</v>
      </c>
    </row>
    <row r="21" spans="1:11" x14ac:dyDescent="0.25">
      <c r="A21" s="158" t="s">
        <v>229</v>
      </c>
      <c r="B21" s="161" t="s">
        <v>502</v>
      </c>
      <c r="C21" s="158" t="s">
        <v>408</v>
      </c>
      <c r="D21" s="161"/>
      <c r="E21" s="159">
        <f>1453.96</f>
        <v>1453.96</v>
      </c>
      <c r="F21" s="159">
        <v>65.599999999999994</v>
      </c>
      <c r="G21" s="159">
        <f t="shared" si="0"/>
        <v>1080.554174573055</v>
      </c>
      <c r="H21" s="159">
        <f t="shared" si="1"/>
        <v>179.67282352941177</v>
      </c>
      <c r="I21" s="159">
        <f t="shared" si="2"/>
        <v>240.69237666034152</v>
      </c>
      <c r="J21" s="159">
        <f t="shared" si="4"/>
        <v>32.416625237191646</v>
      </c>
      <c r="K21" s="160">
        <f t="shared" si="3"/>
        <v>210.03783301707779</v>
      </c>
    </row>
    <row r="22" spans="1:11" x14ac:dyDescent="0.25">
      <c r="A22" s="158" t="s">
        <v>118</v>
      </c>
      <c r="B22" s="161" t="s">
        <v>503</v>
      </c>
      <c r="C22" s="158" t="s">
        <v>408</v>
      </c>
      <c r="D22" s="159"/>
      <c r="E22" s="159">
        <f>1453.96</f>
        <v>1453.96</v>
      </c>
      <c r="F22" s="159">
        <v>65.599999999999994</v>
      </c>
      <c r="G22" s="159">
        <f t="shared" si="0"/>
        <v>1080.554174573055</v>
      </c>
      <c r="H22" s="159">
        <f t="shared" si="1"/>
        <v>179.67282352941177</v>
      </c>
      <c r="I22" s="159">
        <f t="shared" si="2"/>
        <v>240.69237666034152</v>
      </c>
      <c r="J22" s="159">
        <f t="shared" si="4"/>
        <v>32.416625237191646</v>
      </c>
      <c r="K22" s="160">
        <f t="shared" si="3"/>
        <v>210.03783301707779</v>
      </c>
    </row>
    <row r="23" spans="1:11" x14ac:dyDescent="0.25">
      <c r="A23" s="158" t="s">
        <v>124</v>
      </c>
      <c r="B23" s="161" t="s">
        <v>504</v>
      </c>
      <c r="C23" s="158" t="s">
        <v>408</v>
      </c>
      <c r="D23" s="159"/>
      <c r="E23" s="159">
        <f>1453.96</f>
        <v>1453.96</v>
      </c>
      <c r="F23" s="159">
        <v>65.599999999999994</v>
      </c>
      <c r="G23" s="159">
        <f t="shared" si="0"/>
        <v>1080.554174573055</v>
      </c>
      <c r="H23" s="159">
        <f t="shared" si="1"/>
        <v>179.67282352941177</v>
      </c>
      <c r="I23" s="159">
        <f t="shared" si="2"/>
        <v>240.69237666034152</v>
      </c>
      <c r="J23" s="159">
        <f t="shared" si="4"/>
        <v>32.416625237191646</v>
      </c>
      <c r="K23" s="160">
        <f t="shared" si="3"/>
        <v>210.03783301707779</v>
      </c>
    </row>
    <row r="24" spans="1:11" x14ac:dyDescent="0.25">
      <c r="A24" s="158" t="s">
        <v>247</v>
      </c>
      <c r="B24" s="158" t="s">
        <v>429</v>
      </c>
      <c r="C24" s="158" t="s">
        <v>408</v>
      </c>
      <c r="D24" s="159"/>
      <c r="E24" s="159">
        <f>1817.45</f>
        <v>1817.45</v>
      </c>
      <c r="F24" s="159">
        <v>95.24</v>
      </c>
      <c r="G24" s="159">
        <f t="shared" si="0"/>
        <v>1397.5944971537003</v>
      </c>
      <c r="H24" s="159">
        <f t="shared" si="1"/>
        <v>179.67282352941177</v>
      </c>
      <c r="I24" s="159">
        <f t="shared" si="2"/>
        <v>313.49524440227708</v>
      </c>
      <c r="J24" s="159">
        <f t="shared" si="4"/>
        <v>41.927834914611012</v>
      </c>
      <c r="K24" s="160">
        <f t="shared" si="3"/>
        <v>262.87788678051868</v>
      </c>
    </row>
    <row r="25" spans="1:11" x14ac:dyDescent="0.25">
      <c r="A25" s="166" t="s">
        <v>410</v>
      </c>
      <c r="B25" s="166" t="s">
        <v>411</v>
      </c>
      <c r="C25" s="166" t="s">
        <v>408</v>
      </c>
      <c r="D25" s="167"/>
      <c r="E25" s="167">
        <f>9198.52</f>
        <v>9198.52</v>
      </c>
      <c r="F25" s="167">
        <f>-454.09</f>
        <v>-454.09</v>
      </c>
      <c r="G25" s="167">
        <f t="shared" si="0"/>
        <v>6907.062239089184</v>
      </c>
      <c r="H25" s="167">
        <f t="shared" si="1"/>
        <v>179.67282352941177</v>
      </c>
      <c r="I25" s="167">
        <f t="shared" si="2"/>
        <v>1355.1241702087286</v>
      </c>
      <c r="J25" s="167">
        <f t="shared" si="4"/>
        <v>207.21186717267551</v>
      </c>
      <c r="K25" s="168">
        <f t="shared" si="3"/>
        <v>1181.1225104364328</v>
      </c>
    </row>
    <row r="26" spans="1:11" x14ac:dyDescent="0.25">
      <c r="A26" s="158" t="s">
        <v>7</v>
      </c>
      <c r="B26" s="158" t="s">
        <v>444</v>
      </c>
      <c r="C26" s="158" t="s">
        <v>408</v>
      </c>
      <c r="D26" s="159"/>
      <c r="E26" s="159">
        <f>1817.45</f>
        <v>1817.45</v>
      </c>
      <c r="F26" s="159">
        <v>82</v>
      </c>
      <c r="G26" s="159">
        <f t="shared" si="0"/>
        <v>1386.9170777988616</v>
      </c>
      <c r="H26" s="159">
        <f t="shared" si="1"/>
        <v>179.67282352941177</v>
      </c>
      <c r="I26" s="159">
        <f t="shared" si="2"/>
        <v>308.4725863377609</v>
      </c>
      <c r="J26" s="159">
        <f t="shared" si="4"/>
        <v>41.607512333965843</v>
      </c>
      <c r="K26" s="160">
        <f t="shared" si="3"/>
        <v>261.09831688804553</v>
      </c>
    </row>
    <row r="27" spans="1:11" x14ac:dyDescent="0.25">
      <c r="A27" s="166" t="s">
        <v>434</v>
      </c>
      <c r="B27" s="166" t="s">
        <v>435</v>
      </c>
      <c r="C27" s="166" t="s">
        <v>408</v>
      </c>
      <c r="D27" s="167"/>
      <c r="E27" s="167">
        <f>1817.45</f>
        <v>1817.45</v>
      </c>
      <c r="F27" s="167">
        <v>82</v>
      </c>
      <c r="G27" s="167">
        <f t="shared" si="0"/>
        <v>1386.9170777988616</v>
      </c>
      <c r="H27" s="167">
        <f t="shared" si="1"/>
        <v>179.67282352941177</v>
      </c>
      <c r="I27" s="167">
        <f t="shared" si="2"/>
        <v>308.4725863377609</v>
      </c>
      <c r="J27" s="167">
        <f t="shared" si="4"/>
        <v>41.607512333965843</v>
      </c>
      <c r="K27" s="168">
        <f t="shared" si="3"/>
        <v>261.09831688804553</v>
      </c>
    </row>
    <row r="28" spans="1:11" x14ac:dyDescent="0.25">
      <c r="A28" s="166" t="s">
        <v>445</v>
      </c>
      <c r="B28" s="166" t="s">
        <v>446</v>
      </c>
      <c r="C28" s="166" t="s">
        <v>408</v>
      </c>
      <c r="D28" s="167"/>
      <c r="E28" s="167">
        <f>1817.45</f>
        <v>1817.45</v>
      </c>
      <c r="F28" s="167">
        <v>82</v>
      </c>
      <c r="G28" s="167">
        <f t="shared" si="0"/>
        <v>1386.9170777988616</v>
      </c>
      <c r="H28" s="167">
        <f t="shared" si="1"/>
        <v>179.67282352941177</v>
      </c>
      <c r="I28" s="167">
        <f t="shared" si="2"/>
        <v>308.4725863377609</v>
      </c>
      <c r="J28" s="167">
        <f t="shared" si="4"/>
        <v>41.607512333965843</v>
      </c>
      <c r="K28" s="168">
        <f t="shared" si="3"/>
        <v>261.09831688804553</v>
      </c>
    </row>
    <row r="29" spans="1:11" x14ac:dyDescent="0.25">
      <c r="A29" s="166" t="s">
        <v>430</v>
      </c>
      <c r="B29" s="166" t="s">
        <v>431</v>
      </c>
      <c r="C29" s="166" t="s">
        <v>408</v>
      </c>
      <c r="D29" s="167"/>
      <c r="E29" s="167">
        <f>1817.45</f>
        <v>1817.45</v>
      </c>
      <c r="F29" s="167">
        <v>95.24</v>
      </c>
      <c r="G29" s="167">
        <f t="shared" si="0"/>
        <v>1397.5944971537003</v>
      </c>
      <c r="H29" s="167">
        <f t="shared" si="1"/>
        <v>179.67282352941177</v>
      </c>
      <c r="I29" s="167">
        <f t="shared" si="2"/>
        <v>313.49524440227708</v>
      </c>
      <c r="J29" s="167">
        <f t="shared" si="4"/>
        <v>41.927834914611012</v>
      </c>
      <c r="K29" s="168">
        <f t="shared" si="3"/>
        <v>262.87788678051868</v>
      </c>
    </row>
    <row r="30" spans="1:11" x14ac:dyDescent="0.25">
      <c r="A30" s="155" t="s">
        <v>174</v>
      </c>
      <c r="B30" s="155" t="s">
        <v>407</v>
      </c>
      <c r="C30" s="155" t="s">
        <v>408</v>
      </c>
      <c r="D30" s="156"/>
      <c r="E30" s="156">
        <f>9431.06</f>
        <v>9431.06</v>
      </c>
      <c r="F30" s="156">
        <f>-257.85</f>
        <v>-257.85000000000002</v>
      </c>
      <c r="G30" s="156">
        <f t="shared" si="0"/>
        <v>7252.852561669828</v>
      </c>
      <c r="H30" s="156">
        <f t="shared" si="1"/>
        <v>179.67282352941177</v>
      </c>
      <c r="I30" s="156">
        <f t="shared" si="2"/>
        <v>1468.9505379506638</v>
      </c>
      <c r="J30" s="156">
        <f t="shared" si="4"/>
        <v>217.58557685009484</v>
      </c>
      <c r="K30" s="157">
        <f t="shared" si="3"/>
        <v>1238.75423086654</v>
      </c>
    </row>
    <row r="31" spans="1:11" x14ac:dyDescent="0.25">
      <c r="A31" s="158" t="s">
        <v>279</v>
      </c>
      <c r="B31" s="158" t="s">
        <v>481</v>
      </c>
      <c r="C31" s="158" t="s">
        <v>408</v>
      </c>
      <c r="D31" s="159"/>
      <c r="E31" s="159">
        <f t="shared" ref="E31:E43" si="5">1817.45</f>
        <v>1817.45</v>
      </c>
      <c r="F31" s="159">
        <v>82</v>
      </c>
      <c r="G31" s="159">
        <f t="shared" si="0"/>
        <v>1386.9170777988616</v>
      </c>
      <c r="H31" s="159">
        <f t="shared" si="1"/>
        <v>179.67282352941177</v>
      </c>
      <c r="I31" s="159">
        <f t="shared" si="2"/>
        <v>308.4725863377609</v>
      </c>
      <c r="J31" s="159">
        <f t="shared" si="4"/>
        <v>41.607512333965843</v>
      </c>
      <c r="K31" s="160">
        <f t="shared" si="3"/>
        <v>261.09831688804553</v>
      </c>
    </row>
    <row r="32" spans="1:11" x14ac:dyDescent="0.25">
      <c r="A32" s="166" t="s">
        <v>305</v>
      </c>
      <c r="B32" s="166" t="s">
        <v>447</v>
      </c>
      <c r="C32" s="166" t="s">
        <v>408</v>
      </c>
      <c r="D32" s="167"/>
      <c r="E32" s="167">
        <f t="shared" si="5"/>
        <v>1817.45</v>
      </c>
      <c r="F32" s="167">
        <v>82</v>
      </c>
      <c r="G32" s="167">
        <f t="shared" si="0"/>
        <v>1386.9170777988616</v>
      </c>
      <c r="H32" s="167">
        <f t="shared" si="1"/>
        <v>179.67282352941177</v>
      </c>
      <c r="I32" s="167">
        <f t="shared" si="2"/>
        <v>308.4725863377609</v>
      </c>
      <c r="J32" s="167">
        <f t="shared" si="4"/>
        <v>41.607512333965843</v>
      </c>
      <c r="K32" s="168">
        <f t="shared" si="3"/>
        <v>261.09831688804553</v>
      </c>
    </row>
    <row r="33" spans="1:11" x14ac:dyDescent="0.25">
      <c r="A33" s="166" t="s">
        <v>482</v>
      </c>
      <c r="B33" s="166" t="s">
        <v>483</v>
      </c>
      <c r="C33" s="166" t="s">
        <v>408</v>
      </c>
      <c r="D33" s="167"/>
      <c r="E33" s="167">
        <f t="shared" si="5"/>
        <v>1817.45</v>
      </c>
      <c r="F33" s="167">
        <v>82</v>
      </c>
      <c r="G33" s="167">
        <f t="shared" si="0"/>
        <v>1386.9170777988616</v>
      </c>
      <c r="H33" s="167">
        <f t="shared" si="1"/>
        <v>179.67282352941177</v>
      </c>
      <c r="I33" s="167">
        <f t="shared" si="2"/>
        <v>308.4725863377609</v>
      </c>
      <c r="J33" s="167">
        <f t="shared" si="4"/>
        <v>41.607512333965843</v>
      </c>
      <c r="K33" s="168">
        <f t="shared" si="3"/>
        <v>261.09831688804553</v>
      </c>
    </row>
    <row r="34" spans="1:11" x14ac:dyDescent="0.25">
      <c r="A34" s="166" t="s">
        <v>243</v>
      </c>
      <c r="B34" s="166" t="s">
        <v>449</v>
      </c>
      <c r="C34" s="166" t="s">
        <v>408</v>
      </c>
      <c r="D34" s="167"/>
      <c r="E34" s="167">
        <f t="shared" si="5"/>
        <v>1817.45</v>
      </c>
      <c r="F34" s="167">
        <v>82</v>
      </c>
      <c r="G34" s="167">
        <f t="shared" si="0"/>
        <v>1386.9170777988616</v>
      </c>
      <c r="H34" s="167">
        <f t="shared" si="1"/>
        <v>179.67282352941177</v>
      </c>
      <c r="I34" s="167">
        <f t="shared" si="2"/>
        <v>308.4725863377609</v>
      </c>
      <c r="J34" s="167">
        <f t="shared" si="4"/>
        <v>41.607512333965843</v>
      </c>
      <c r="K34" s="168">
        <f t="shared" si="3"/>
        <v>261.09831688804553</v>
      </c>
    </row>
    <row r="35" spans="1:11" x14ac:dyDescent="0.25">
      <c r="A35" s="158" t="s">
        <v>270</v>
      </c>
      <c r="B35" s="158" t="s">
        <v>448</v>
      </c>
      <c r="C35" s="158" t="s">
        <v>408</v>
      </c>
      <c r="D35" s="159"/>
      <c r="E35" s="159">
        <f t="shared" si="5"/>
        <v>1817.45</v>
      </c>
      <c r="F35" s="159">
        <v>82</v>
      </c>
      <c r="G35" s="159">
        <f t="shared" si="0"/>
        <v>1386.9170777988616</v>
      </c>
      <c r="H35" s="159">
        <f t="shared" si="1"/>
        <v>179.67282352941177</v>
      </c>
      <c r="I35" s="159">
        <f t="shared" si="2"/>
        <v>308.4725863377609</v>
      </c>
      <c r="J35" s="159">
        <f t="shared" si="4"/>
        <v>41.607512333965843</v>
      </c>
      <c r="K35" s="160">
        <f t="shared" si="3"/>
        <v>261.09831688804553</v>
      </c>
    </row>
    <row r="36" spans="1:11" x14ac:dyDescent="0.25">
      <c r="A36" s="166" t="s">
        <v>189</v>
      </c>
      <c r="B36" s="166" t="s">
        <v>436</v>
      </c>
      <c r="C36" s="166" t="s">
        <v>408</v>
      </c>
      <c r="D36" s="167"/>
      <c r="E36" s="167">
        <f t="shared" si="5"/>
        <v>1817.45</v>
      </c>
      <c r="F36" s="167">
        <v>82</v>
      </c>
      <c r="G36" s="167">
        <f t="shared" si="0"/>
        <v>1386.9170777988616</v>
      </c>
      <c r="H36" s="167">
        <f t="shared" si="1"/>
        <v>179.67282352941177</v>
      </c>
      <c r="I36" s="167">
        <f t="shared" si="2"/>
        <v>308.4725863377609</v>
      </c>
      <c r="J36" s="167">
        <f t="shared" si="4"/>
        <v>41.607512333965843</v>
      </c>
      <c r="K36" s="168">
        <f t="shared" si="3"/>
        <v>261.09831688804553</v>
      </c>
    </row>
    <row r="37" spans="1:11" x14ac:dyDescent="0.25">
      <c r="A37" s="158" t="s">
        <v>85</v>
      </c>
      <c r="B37" s="158" t="s">
        <v>437</v>
      </c>
      <c r="C37" s="158" t="s">
        <v>408</v>
      </c>
      <c r="D37" s="159"/>
      <c r="E37" s="159">
        <f t="shared" si="5"/>
        <v>1817.45</v>
      </c>
      <c r="F37" s="159">
        <v>82</v>
      </c>
      <c r="G37" s="159">
        <f t="shared" ref="G37:G68" si="6">(E37+F37-H37)/1.24</f>
        <v>1386.9170777988616</v>
      </c>
      <c r="H37" s="159">
        <f t="shared" ref="H37:H68" si="7">(4755.86+10462.89+16.7+36.74)/85</f>
        <v>179.67282352941177</v>
      </c>
      <c r="I37" s="159">
        <f t="shared" ref="I37:I68" si="8">(G37+F37)*0.21</f>
        <v>308.4725863377609</v>
      </c>
      <c r="J37" s="159">
        <f t="shared" si="4"/>
        <v>41.607512333965843</v>
      </c>
      <c r="K37" s="160">
        <f t="shared" ref="K37:K68" si="9">(G37+H37)/6</f>
        <v>261.09831688804553</v>
      </c>
    </row>
    <row r="38" spans="1:11" x14ac:dyDescent="0.25">
      <c r="A38" s="158" t="s">
        <v>80</v>
      </c>
      <c r="B38" s="158" t="s">
        <v>478</v>
      </c>
      <c r="C38" s="158" t="s">
        <v>408</v>
      </c>
      <c r="D38" s="159"/>
      <c r="E38" s="159">
        <f t="shared" si="5"/>
        <v>1817.45</v>
      </c>
      <c r="F38" s="159">
        <v>82</v>
      </c>
      <c r="G38" s="159">
        <f t="shared" si="6"/>
        <v>1386.9170777988616</v>
      </c>
      <c r="H38" s="159">
        <f t="shared" si="7"/>
        <v>179.67282352941177</v>
      </c>
      <c r="I38" s="159">
        <f t="shared" si="8"/>
        <v>308.4725863377609</v>
      </c>
      <c r="J38" s="159">
        <f t="shared" ref="J38:J69" si="10">+G38*0.03</f>
        <v>41.607512333965843</v>
      </c>
      <c r="K38" s="160">
        <f t="shared" si="9"/>
        <v>261.09831688804553</v>
      </c>
    </row>
    <row r="39" spans="1:11" x14ac:dyDescent="0.25">
      <c r="A39" s="158" t="s">
        <v>286</v>
      </c>
      <c r="B39" s="158" t="s">
        <v>479</v>
      </c>
      <c r="C39" s="158" t="s">
        <v>408</v>
      </c>
      <c r="D39" s="159"/>
      <c r="E39" s="159">
        <f t="shared" si="5"/>
        <v>1817.45</v>
      </c>
      <c r="F39" s="159">
        <v>82</v>
      </c>
      <c r="G39" s="159">
        <f t="shared" si="6"/>
        <v>1386.9170777988616</v>
      </c>
      <c r="H39" s="159">
        <f t="shared" si="7"/>
        <v>179.67282352941177</v>
      </c>
      <c r="I39" s="159">
        <f t="shared" si="8"/>
        <v>308.4725863377609</v>
      </c>
      <c r="J39" s="159">
        <f t="shared" si="10"/>
        <v>41.607512333965843</v>
      </c>
      <c r="K39" s="160">
        <f t="shared" si="9"/>
        <v>261.09831688804553</v>
      </c>
    </row>
    <row r="40" spans="1:11" x14ac:dyDescent="0.25">
      <c r="A40" s="166" t="s">
        <v>179</v>
      </c>
      <c r="B40" s="166" t="s">
        <v>480</v>
      </c>
      <c r="C40" s="166" t="s">
        <v>408</v>
      </c>
      <c r="D40" s="167"/>
      <c r="E40" s="167">
        <f t="shared" si="5"/>
        <v>1817.45</v>
      </c>
      <c r="F40" s="167">
        <v>82</v>
      </c>
      <c r="G40" s="167">
        <f t="shared" si="6"/>
        <v>1386.9170777988616</v>
      </c>
      <c r="H40" s="167">
        <f t="shared" si="7"/>
        <v>179.67282352941177</v>
      </c>
      <c r="I40" s="167">
        <f t="shared" si="8"/>
        <v>308.4725863377609</v>
      </c>
      <c r="J40" s="167">
        <f t="shared" si="10"/>
        <v>41.607512333965843</v>
      </c>
      <c r="K40" s="168">
        <f t="shared" si="9"/>
        <v>261.09831688804553</v>
      </c>
    </row>
    <row r="41" spans="1:11" x14ac:dyDescent="0.25">
      <c r="A41" s="158" t="s">
        <v>309</v>
      </c>
      <c r="B41" s="158" t="s">
        <v>488</v>
      </c>
      <c r="C41" s="158" t="s">
        <v>408</v>
      </c>
      <c r="D41" s="159"/>
      <c r="E41" s="159">
        <f t="shared" si="5"/>
        <v>1817.45</v>
      </c>
      <c r="F41" s="159">
        <v>82</v>
      </c>
      <c r="G41" s="159">
        <f t="shared" si="6"/>
        <v>1386.9170777988616</v>
      </c>
      <c r="H41" s="159">
        <f t="shared" si="7"/>
        <v>179.67282352941177</v>
      </c>
      <c r="I41" s="159">
        <f t="shared" si="8"/>
        <v>308.4725863377609</v>
      </c>
      <c r="J41" s="159">
        <f t="shared" si="10"/>
        <v>41.607512333965843</v>
      </c>
      <c r="K41" s="160">
        <f t="shared" si="9"/>
        <v>261.09831688804553</v>
      </c>
    </row>
    <row r="42" spans="1:11" x14ac:dyDescent="0.25">
      <c r="A42" s="158" t="s">
        <v>73</v>
      </c>
      <c r="B42" s="158" t="s">
        <v>428</v>
      </c>
      <c r="C42" s="158" t="s">
        <v>408</v>
      </c>
      <c r="D42" s="159"/>
      <c r="E42" s="159">
        <f t="shared" si="5"/>
        <v>1817.45</v>
      </c>
      <c r="F42" s="159">
        <v>95.24</v>
      </c>
      <c r="G42" s="159">
        <f t="shared" si="6"/>
        <v>1397.5944971537003</v>
      </c>
      <c r="H42" s="159">
        <f t="shared" si="7"/>
        <v>179.67282352941177</v>
      </c>
      <c r="I42" s="159">
        <f t="shared" si="8"/>
        <v>313.49524440227708</v>
      </c>
      <c r="J42" s="159">
        <f t="shared" si="10"/>
        <v>41.927834914611012</v>
      </c>
      <c r="K42" s="160">
        <f t="shared" si="9"/>
        <v>262.87788678051868</v>
      </c>
    </row>
    <row r="43" spans="1:11" x14ac:dyDescent="0.25">
      <c r="A43" s="158" t="s">
        <v>249</v>
      </c>
      <c r="B43" s="158" t="s">
        <v>433</v>
      </c>
      <c r="C43" s="158" t="s">
        <v>408</v>
      </c>
      <c r="D43" s="159"/>
      <c r="E43" s="159">
        <f t="shared" si="5"/>
        <v>1817.45</v>
      </c>
      <c r="F43" s="159">
        <v>82</v>
      </c>
      <c r="G43" s="159">
        <f t="shared" si="6"/>
        <v>1386.9170777988616</v>
      </c>
      <c r="H43" s="159">
        <f t="shared" si="7"/>
        <v>179.67282352941177</v>
      </c>
      <c r="I43" s="159">
        <f t="shared" si="8"/>
        <v>308.4725863377609</v>
      </c>
      <c r="J43" s="159">
        <f t="shared" si="10"/>
        <v>41.607512333965843</v>
      </c>
      <c r="K43" s="160">
        <f t="shared" si="9"/>
        <v>261.09831688804553</v>
      </c>
    </row>
    <row r="44" spans="1:11" x14ac:dyDescent="0.25">
      <c r="A44" s="155" t="s">
        <v>199</v>
      </c>
      <c r="B44" s="155" t="s">
        <v>418</v>
      </c>
      <c r="C44" s="155" t="s">
        <v>408</v>
      </c>
      <c r="D44" s="156"/>
      <c r="E44" s="156">
        <f>8733.47</f>
        <v>8733.4699999999993</v>
      </c>
      <c r="F44" s="156">
        <f>423.29</f>
        <v>423.29</v>
      </c>
      <c r="G44" s="156">
        <f t="shared" si="6"/>
        <v>7239.5864326375713</v>
      </c>
      <c r="H44" s="156">
        <f t="shared" si="7"/>
        <v>179.67282352941177</v>
      </c>
      <c r="I44" s="156">
        <f t="shared" si="8"/>
        <v>1609.2040508538898</v>
      </c>
      <c r="J44" s="156">
        <f t="shared" si="10"/>
        <v>217.18759297912712</v>
      </c>
      <c r="K44" s="157">
        <f t="shared" si="9"/>
        <v>1236.5432093611639</v>
      </c>
    </row>
    <row r="45" spans="1:11" x14ac:dyDescent="0.25">
      <c r="A45" s="155" t="s">
        <v>207</v>
      </c>
      <c r="B45" s="155" t="s">
        <v>417</v>
      </c>
      <c r="C45" s="155" t="s">
        <v>408</v>
      </c>
      <c r="D45" s="156"/>
      <c r="E45" s="156">
        <f>72823.29</f>
        <v>72823.289999999994</v>
      </c>
      <c r="F45" s="156">
        <v>410.57</v>
      </c>
      <c r="G45" s="156">
        <f t="shared" si="6"/>
        <v>58914.667077798862</v>
      </c>
      <c r="H45" s="156">
        <f t="shared" si="7"/>
        <v>179.67282352941177</v>
      </c>
      <c r="I45" s="156">
        <f t="shared" si="8"/>
        <v>12458.29978633776</v>
      </c>
      <c r="J45" s="156">
        <f t="shared" si="10"/>
        <v>1767.4400123339658</v>
      </c>
      <c r="K45" s="157">
        <f t="shared" si="9"/>
        <v>9849.0566502213787</v>
      </c>
    </row>
    <row r="46" spans="1:11" x14ac:dyDescent="0.25">
      <c r="A46" s="158" t="s">
        <v>200</v>
      </c>
      <c r="B46" s="158" t="s">
        <v>432</v>
      </c>
      <c r="C46" s="158" t="s">
        <v>408</v>
      </c>
      <c r="D46" s="159"/>
      <c r="E46" s="159">
        <f t="shared" ref="E46:E54" si="11">1817.45</f>
        <v>1817.45</v>
      </c>
      <c r="F46" s="159">
        <v>82</v>
      </c>
      <c r="G46" s="159">
        <f t="shared" si="6"/>
        <v>1386.9170777988616</v>
      </c>
      <c r="H46" s="159">
        <f t="shared" si="7"/>
        <v>179.67282352941177</v>
      </c>
      <c r="I46" s="159">
        <f t="shared" si="8"/>
        <v>308.4725863377609</v>
      </c>
      <c r="J46" s="159">
        <f t="shared" si="10"/>
        <v>41.607512333965843</v>
      </c>
      <c r="K46" s="160">
        <f t="shared" si="9"/>
        <v>261.09831688804553</v>
      </c>
    </row>
    <row r="47" spans="1:11" x14ac:dyDescent="0.25">
      <c r="A47" s="158" t="s">
        <v>289</v>
      </c>
      <c r="B47" s="158" t="s">
        <v>475</v>
      </c>
      <c r="C47" s="158" t="s">
        <v>408</v>
      </c>
      <c r="D47" s="159"/>
      <c r="E47" s="159">
        <f t="shared" si="11"/>
        <v>1817.45</v>
      </c>
      <c r="F47" s="159">
        <v>82</v>
      </c>
      <c r="G47" s="159">
        <f t="shared" si="6"/>
        <v>1386.9170777988616</v>
      </c>
      <c r="H47" s="159">
        <f t="shared" si="7"/>
        <v>179.67282352941177</v>
      </c>
      <c r="I47" s="159">
        <f t="shared" si="8"/>
        <v>308.4725863377609</v>
      </c>
      <c r="J47" s="159">
        <f t="shared" si="10"/>
        <v>41.607512333965843</v>
      </c>
      <c r="K47" s="160">
        <f t="shared" si="9"/>
        <v>261.09831688804553</v>
      </c>
    </row>
    <row r="48" spans="1:11" x14ac:dyDescent="0.25">
      <c r="A48" s="158" t="s">
        <v>265</v>
      </c>
      <c r="B48" s="158" t="s">
        <v>489</v>
      </c>
      <c r="C48" s="158" t="s">
        <v>408</v>
      </c>
      <c r="D48" s="159"/>
      <c r="E48" s="159">
        <f t="shared" si="11"/>
        <v>1817.45</v>
      </c>
      <c r="F48" s="159">
        <v>82</v>
      </c>
      <c r="G48" s="159">
        <f t="shared" si="6"/>
        <v>1386.9170777988616</v>
      </c>
      <c r="H48" s="159">
        <f t="shared" si="7"/>
        <v>179.67282352941177</v>
      </c>
      <c r="I48" s="159">
        <f t="shared" si="8"/>
        <v>308.4725863377609</v>
      </c>
      <c r="J48" s="159">
        <f t="shared" si="10"/>
        <v>41.607512333965843</v>
      </c>
      <c r="K48" s="160">
        <f t="shared" si="9"/>
        <v>261.09831688804553</v>
      </c>
    </row>
    <row r="49" spans="1:11" x14ac:dyDescent="0.25">
      <c r="A49" s="158" t="s">
        <v>238</v>
      </c>
      <c r="B49" s="158" t="s">
        <v>456</v>
      </c>
      <c r="C49" s="158" t="s">
        <v>408</v>
      </c>
      <c r="D49" s="159"/>
      <c r="E49" s="159">
        <f t="shared" si="11"/>
        <v>1817.45</v>
      </c>
      <c r="F49" s="159">
        <v>82</v>
      </c>
      <c r="G49" s="159">
        <f t="shared" si="6"/>
        <v>1386.9170777988616</v>
      </c>
      <c r="H49" s="159">
        <f t="shared" si="7"/>
        <v>179.67282352941177</v>
      </c>
      <c r="I49" s="159">
        <f t="shared" si="8"/>
        <v>308.4725863377609</v>
      </c>
      <c r="J49" s="159">
        <f t="shared" si="10"/>
        <v>41.607512333965843</v>
      </c>
      <c r="K49" s="160">
        <f t="shared" si="9"/>
        <v>261.09831688804553</v>
      </c>
    </row>
    <row r="50" spans="1:11" x14ac:dyDescent="0.25">
      <c r="A50" s="158" t="s">
        <v>106</v>
      </c>
      <c r="B50" s="158" t="s">
        <v>468</v>
      </c>
      <c r="C50" s="158" t="s">
        <v>408</v>
      </c>
      <c r="D50" s="159"/>
      <c r="E50" s="159">
        <f t="shared" si="11"/>
        <v>1817.45</v>
      </c>
      <c r="F50" s="159">
        <v>82</v>
      </c>
      <c r="G50" s="159">
        <f t="shared" si="6"/>
        <v>1386.9170777988616</v>
      </c>
      <c r="H50" s="159">
        <f t="shared" si="7"/>
        <v>179.67282352941177</v>
      </c>
      <c r="I50" s="159">
        <f t="shared" si="8"/>
        <v>308.4725863377609</v>
      </c>
      <c r="J50" s="159">
        <f t="shared" si="10"/>
        <v>41.607512333965843</v>
      </c>
      <c r="K50" s="160">
        <f t="shared" si="9"/>
        <v>261.09831688804553</v>
      </c>
    </row>
    <row r="51" spans="1:11" x14ac:dyDescent="0.25">
      <c r="A51" s="158" t="s">
        <v>183</v>
      </c>
      <c r="B51" s="158" t="s">
        <v>469</v>
      </c>
      <c r="C51" s="158" t="s">
        <v>408</v>
      </c>
      <c r="D51" s="159"/>
      <c r="E51" s="159">
        <f t="shared" si="11"/>
        <v>1817.45</v>
      </c>
      <c r="F51" s="159">
        <v>82</v>
      </c>
      <c r="G51" s="159">
        <f t="shared" si="6"/>
        <v>1386.9170777988616</v>
      </c>
      <c r="H51" s="159">
        <f t="shared" si="7"/>
        <v>179.67282352941177</v>
      </c>
      <c r="I51" s="159">
        <f t="shared" si="8"/>
        <v>308.4725863377609</v>
      </c>
      <c r="J51" s="159">
        <f t="shared" si="10"/>
        <v>41.607512333965843</v>
      </c>
      <c r="K51" s="160">
        <f t="shared" si="9"/>
        <v>261.09831688804553</v>
      </c>
    </row>
    <row r="52" spans="1:11" x14ac:dyDescent="0.25">
      <c r="A52" s="166" t="s">
        <v>471</v>
      </c>
      <c r="B52" s="166" t="s">
        <v>472</v>
      </c>
      <c r="C52" s="166" t="s">
        <v>408</v>
      </c>
      <c r="D52" s="167"/>
      <c r="E52" s="167">
        <f t="shared" si="11"/>
        <v>1817.45</v>
      </c>
      <c r="F52" s="167">
        <v>82</v>
      </c>
      <c r="G52" s="167">
        <f t="shared" si="6"/>
        <v>1386.9170777988616</v>
      </c>
      <c r="H52" s="167">
        <f t="shared" si="7"/>
        <v>179.67282352941177</v>
      </c>
      <c r="I52" s="167">
        <f t="shared" si="8"/>
        <v>308.4725863377609</v>
      </c>
      <c r="J52" s="167">
        <f t="shared" si="10"/>
        <v>41.607512333965843</v>
      </c>
      <c r="K52" s="168">
        <f t="shared" si="9"/>
        <v>261.09831688804553</v>
      </c>
    </row>
    <row r="53" spans="1:11" x14ac:dyDescent="0.25">
      <c r="A53" s="158" t="s">
        <v>49</v>
      </c>
      <c r="B53" s="158" t="s">
        <v>473</v>
      </c>
      <c r="C53" s="158" t="s">
        <v>408</v>
      </c>
      <c r="D53" s="159"/>
      <c r="E53" s="159">
        <f t="shared" si="11"/>
        <v>1817.45</v>
      </c>
      <c r="F53" s="159">
        <v>82</v>
      </c>
      <c r="G53" s="159">
        <f t="shared" si="6"/>
        <v>1386.9170777988616</v>
      </c>
      <c r="H53" s="159">
        <f t="shared" si="7"/>
        <v>179.67282352941177</v>
      </c>
      <c r="I53" s="159">
        <f t="shared" si="8"/>
        <v>308.4725863377609</v>
      </c>
      <c r="J53" s="159">
        <f t="shared" si="10"/>
        <v>41.607512333965843</v>
      </c>
      <c r="K53" s="160">
        <f t="shared" si="9"/>
        <v>261.09831688804553</v>
      </c>
    </row>
    <row r="54" spans="1:11" x14ac:dyDescent="0.25">
      <c r="A54" s="158" t="s">
        <v>253</v>
      </c>
      <c r="B54" s="158" t="s">
        <v>474</v>
      </c>
      <c r="C54" s="158" t="s">
        <v>408</v>
      </c>
      <c r="D54" s="159"/>
      <c r="E54" s="159">
        <f t="shared" si="11"/>
        <v>1817.45</v>
      </c>
      <c r="F54" s="159">
        <v>82</v>
      </c>
      <c r="G54" s="159">
        <f t="shared" si="6"/>
        <v>1386.9170777988616</v>
      </c>
      <c r="H54" s="159">
        <f t="shared" si="7"/>
        <v>179.67282352941177</v>
      </c>
      <c r="I54" s="159">
        <f t="shared" si="8"/>
        <v>308.4725863377609</v>
      </c>
      <c r="J54" s="159">
        <f t="shared" si="10"/>
        <v>41.607512333965843</v>
      </c>
      <c r="K54" s="160">
        <f t="shared" si="9"/>
        <v>261.09831688804553</v>
      </c>
    </row>
    <row r="55" spans="1:11" x14ac:dyDescent="0.25">
      <c r="A55" s="155" t="s">
        <v>228</v>
      </c>
      <c r="B55" s="155" t="s">
        <v>421</v>
      </c>
      <c r="C55" s="155" t="s">
        <v>408</v>
      </c>
      <c r="D55" s="156"/>
      <c r="E55" s="156">
        <f>8733.47</f>
        <v>8733.4699999999993</v>
      </c>
      <c r="F55" s="156">
        <f>423.29</f>
        <v>423.29</v>
      </c>
      <c r="G55" s="156">
        <f t="shared" si="6"/>
        <v>7239.5864326375713</v>
      </c>
      <c r="H55" s="156">
        <f t="shared" si="7"/>
        <v>179.67282352941177</v>
      </c>
      <c r="I55" s="156">
        <f t="shared" si="8"/>
        <v>1609.2040508538898</v>
      </c>
      <c r="J55" s="156">
        <f t="shared" si="10"/>
        <v>217.18759297912712</v>
      </c>
      <c r="K55" s="157">
        <f t="shared" si="9"/>
        <v>1236.5432093611639</v>
      </c>
    </row>
    <row r="56" spans="1:11" x14ac:dyDescent="0.25">
      <c r="A56" s="158" t="s">
        <v>317</v>
      </c>
      <c r="B56" s="158" t="s">
        <v>461</v>
      </c>
      <c r="C56" s="158" t="s">
        <v>408</v>
      </c>
      <c r="D56" s="159"/>
      <c r="E56" s="159">
        <f>1817.45</f>
        <v>1817.45</v>
      </c>
      <c r="F56" s="159">
        <v>82</v>
      </c>
      <c r="G56" s="159">
        <f t="shared" si="6"/>
        <v>1386.9170777988616</v>
      </c>
      <c r="H56" s="159">
        <f t="shared" si="7"/>
        <v>179.67282352941177</v>
      </c>
      <c r="I56" s="159">
        <f t="shared" si="8"/>
        <v>308.4725863377609</v>
      </c>
      <c r="J56" s="159">
        <f t="shared" si="10"/>
        <v>41.607512333965843</v>
      </c>
      <c r="K56" s="160">
        <f t="shared" si="9"/>
        <v>261.09831688804553</v>
      </c>
    </row>
    <row r="57" spans="1:11" x14ac:dyDescent="0.25">
      <c r="A57" s="158" t="s">
        <v>225</v>
      </c>
      <c r="B57" s="158" t="s">
        <v>486</v>
      </c>
      <c r="C57" s="158" t="s">
        <v>408</v>
      </c>
      <c r="D57" s="159"/>
      <c r="E57" s="159">
        <f>1817.45</f>
        <v>1817.45</v>
      </c>
      <c r="F57" s="159">
        <v>82</v>
      </c>
      <c r="G57" s="159">
        <f t="shared" si="6"/>
        <v>1386.9170777988616</v>
      </c>
      <c r="H57" s="159">
        <f t="shared" si="7"/>
        <v>179.67282352941177</v>
      </c>
      <c r="I57" s="159">
        <f t="shared" si="8"/>
        <v>308.4725863377609</v>
      </c>
      <c r="J57" s="159">
        <f t="shared" si="10"/>
        <v>41.607512333965843</v>
      </c>
      <c r="K57" s="160">
        <f t="shared" si="9"/>
        <v>261.09831688804553</v>
      </c>
    </row>
    <row r="58" spans="1:11" x14ac:dyDescent="0.25">
      <c r="A58" s="169" t="s">
        <v>402</v>
      </c>
      <c r="B58" s="169" t="s">
        <v>403</v>
      </c>
      <c r="C58" s="169" t="s">
        <v>404</v>
      </c>
      <c r="D58" s="170"/>
      <c r="E58" s="170">
        <f>11771.33</f>
        <v>11771.33</v>
      </c>
      <c r="F58" s="170">
        <f>-1789.68</f>
        <v>-1789.68</v>
      </c>
      <c r="G58" s="170">
        <f t="shared" si="6"/>
        <v>7904.8203036053128</v>
      </c>
      <c r="H58" s="170">
        <f t="shared" si="7"/>
        <v>179.67282352941177</v>
      </c>
      <c r="I58" s="170">
        <f t="shared" si="8"/>
        <v>1284.1794637571156</v>
      </c>
      <c r="J58" s="170">
        <f t="shared" si="10"/>
        <v>237.14460910815939</v>
      </c>
      <c r="K58" s="171">
        <f t="shared" si="9"/>
        <v>1347.4155211891209</v>
      </c>
    </row>
    <row r="59" spans="1:11" x14ac:dyDescent="0.25">
      <c r="A59" s="155" t="s">
        <v>231</v>
      </c>
      <c r="B59" s="155" t="s">
        <v>419</v>
      </c>
      <c r="C59" s="155" t="s">
        <v>408</v>
      </c>
      <c r="D59" s="156"/>
      <c r="E59" s="156">
        <f>8733.47</f>
        <v>8733.4699999999993</v>
      </c>
      <c r="F59" s="156">
        <f>423.29</f>
        <v>423.29</v>
      </c>
      <c r="G59" s="156">
        <f t="shared" si="6"/>
        <v>7239.5864326375713</v>
      </c>
      <c r="H59" s="156">
        <f t="shared" si="7"/>
        <v>179.67282352941177</v>
      </c>
      <c r="I59" s="156">
        <f t="shared" si="8"/>
        <v>1609.2040508538898</v>
      </c>
      <c r="J59" s="156">
        <f t="shared" si="10"/>
        <v>217.18759297912712</v>
      </c>
      <c r="K59" s="157">
        <f t="shared" si="9"/>
        <v>1236.5432093611639</v>
      </c>
    </row>
    <row r="60" spans="1:11" x14ac:dyDescent="0.25">
      <c r="A60" s="158" t="s">
        <v>151</v>
      </c>
      <c r="B60" s="158" t="s">
        <v>462</v>
      </c>
      <c r="C60" s="158" t="s">
        <v>408</v>
      </c>
      <c r="D60" s="159"/>
      <c r="E60" s="159">
        <f>1817.45</f>
        <v>1817.45</v>
      </c>
      <c r="F60" s="159">
        <v>82</v>
      </c>
      <c r="G60" s="159">
        <f t="shared" si="6"/>
        <v>1386.9170777988616</v>
      </c>
      <c r="H60" s="159">
        <f t="shared" si="7"/>
        <v>179.67282352941177</v>
      </c>
      <c r="I60" s="159">
        <f t="shared" si="8"/>
        <v>308.4725863377609</v>
      </c>
      <c r="J60" s="159">
        <f t="shared" si="10"/>
        <v>41.607512333965843</v>
      </c>
      <c r="K60" s="160">
        <f t="shared" si="9"/>
        <v>261.09831688804553</v>
      </c>
    </row>
    <row r="61" spans="1:11" x14ac:dyDescent="0.25">
      <c r="A61" s="155" t="s">
        <v>245</v>
      </c>
      <c r="B61" s="155" t="s">
        <v>425</v>
      </c>
      <c r="C61" s="155" t="s">
        <v>408</v>
      </c>
      <c r="D61" s="156"/>
      <c r="E61" s="156">
        <f>8719.91</f>
        <v>8719.91</v>
      </c>
      <c r="F61" s="156">
        <v>423.29</v>
      </c>
      <c r="G61" s="156">
        <f t="shared" si="6"/>
        <v>7228.6509487666035</v>
      </c>
      <c r="H61" s="156">
        <f t="shared" si="7"/>
        <v>179.67282352941177</v>
      </c>
      <c r="I61" s="156">
        <f t="shared" si="8"/>
        <v>1606.9075992409867</v>
      </c>
      <c r="J61" s="156">
        <f t="shared" si="10"/>
        <v>216.8595284629981</v>
      </c>
      <c r="K61" s="157">
        <f t="shared" si="9"/>
        <v>1234.7206287160027</v>
      </c>
    </row>
    <row r="62" spans="1:11" x14ac:dyDescent="0.25">
      <c r="A62" s="166" t="s">
        <v>463</v>
      </c>
      <c r="B62" s="166" t="s">
        <v>464</v>
      </c>
      <c r="C62" s="166" t="s">
        <v>408</v>
      </c>
      <c r="D62" s="167"/>
      <c r="E62" s="167">
        <f>1817.45</f>
        <v>1817.45</v>
      </c>
      <c r="F62" s="167">
        <v>82</v>
      </c>
      <c r="G62" s="167">
        <f t="shared" si="6"/>
        <v>1386.9170777988616</v>
      </c>
      <c r="H62" s="167">
        <f t="shared" si="7"/>
        <v>179.67282352941177</v>
      </c>
      <c r="I62" s="167">
        <f t="shared" si="8"/>
        <v>308.4725863377609</v>
      </c>
      <c r="J62" s="167">
        <f t="shared" si="10"/>
        <v>41.607512333965843</v>
      </c>
      <c r="K62" s="168">
        <f t="shared" si="9"/>
        <v>261.09831688804553</v>
      </c>
    </row>
    <row r="63" spans="1:11" x14ac:dyDescent="0.25">
      <c r="A63" s="158" t="s">
        <v>33</v>
      </c>
      <c r="B63" s="158" t="s">
        <v>465</v>
      </c>
      <c r="C63" s="158" t="s">
        <v>408</v>
      </c>
      <c r="D63" s="159"/>
      <c r="E63" s="159">
        <f>1817.45</f>
        <v>1817.45</v>
      </c>
      <c r="F63" s="159">
        <v>82</v>
      </c>
      <c r="G63" s="159">
        <f t="shared" si="6"/>
        <v>1386.9170777988616</v>
      </c>
      <c r="H63" s="159">
        <f t="shared" si="7"/>
        <v>179.67282352941177</v>
      </c>
      <c r="I63" s="159">
        <f t="shared" si="8"/>
        <v>308.4725863377609</v>
      </c>
      <c r="J63" s="159">
        <f t="shared" si="10"/>
        <v>41.607512333965843</v>
      </c>
      <c r="K63" s="160">
        <f t="shared" si="9"/>
        <v>261.09831688804553</v>
      </c>
    </row>
    <row r="64" spans="1:11" x14ac:dyDescent="0.25">
      <c r="A64" s="158" t="s">
        <v>66</v>
      </c>
      <c r="B64" s="158" t="s">
        <v>466</v>
      </c>
      <c r="C64" s="158" t="s">
        <v>408</v>
      </c>
      <c r="D64" s="159"/>
      <c r="E64" s="159">
        <f>1817.45</f>
        <v>1817.45</v>
      </c>
      <c r="F64" s="159">
        <v>82</v>
      </c>
      <c r="G64" s="159">
        <f t="shared" si="6"/>
        <v>1386.9170777988616</v>
      </c>
      <c r="H64" s="159">
        <f t="shared" si="7"/>
        <v>179.67282352941177</v>
      </c>
      <c r="I64" s="159">
        <f t="shared" si="8"/>
        <v>308.4725863377609</v>
      </c>
      <c r="J64" s="159">
        <f t="shared" si="10"/>
        <v>41.607512333965843</v>
      </c>
      <c r="K64" s="160">
        <f t="shared" si="9"/>
        <v>261.09831688804553</v>
      </c>
    </row>
    <row r="65" spans="1:11" x14ac:dyDescent="0.25">
      <c r="A65" s="158" t="s">
        <v>274</v>
      </c>
      <c r="B65" s="158" t="s">
        <v>467</v>
      </c>
      <c r="C65" s="158" t="s">
        <v>408</v>
      </c>
      <c r="D65" s="159"/>
      <c r="E65" s="159">
        <f>1817.45</f>
        <v>1817.45</v>
      </c>
      <c r="F65" s="159">
        <v>82</v>
      </c>
      <c r="G65" s="159">
        <f t="shared" si="6"/>
        <v>1386.9170777988616</v>
      </c>
      <c r="H65" s="159">
        <f t="shared" si="7"/>
        <v>179.67282352941177</v>
      </c>
      <c r="I65" s="159">
        <f t="shared" si="8"/>
        <v>308.4725863377609</v>
      </c>
      <c r="J65" s="159">
        <f t="shared" si="10"/>
        <v>41.607512333965843</v>
      </c>
      <c r="K65" s="160">
        <f t="shared" si="9"/>
        <v>261.09831688804553</v>
      </c>
    </row>
    <row r="66" spans="1:11" x14ac:dyDescent="0.25">
      <c r="A66" s="158" t="s">
        <v>187</v>
      </c>
      <c r="B66" s="158" t="s">
        <v>455</v>
      </c>
      <c r="C66" s="158" t="s">
        <v>408</v>
      </c>
      <c r="D66" s="159"/>
      <c r="E66" s="159">
        <f>1817.45</f>
        <v>1817.45</v>
      </c>
      <c r="F66" s="159">
        <v>82</v>
      </c>
      <c r="G66" s="159">
        <f t="shared" si="6"/>
        <v>1386.9170777988616</v>
      </c>
      <c r="H66" s="159">
        <f t="shared" si="7"/>
        <v>179.67282352941177</v>
      </c>
      <c r="I66" s="159">
        <f t="shared" si="8"/>
        <v>308.4725863377609</v>
      </c>
      <c r="J66" s="159">
        <f t="shared" si="10"/>
        <v>41.607512333965843</v>
      </c>
      <c r="K66" s="160">
        <f t="shared" si="9"/>
        <v>261.09831688804553</v>
      </c>
    </row>
    <row r="67" spans="1:11" x14ac:dyDescent="0.25">
      <c r="A67" s="166" t="s">
        <v>423</v>
      </c>
      <c r="B67" s="166" t="s">
        <v>424</v>
      </c>
      <c r="C67" s="166" t="s">
        <v>408</v>
      </c>
      <c r="D67" s="167"/>
      <c r="E67" s="167">
        <f>8719.91</f>
        <v>8719.91</v>
      </c>
      <c r="F67" s="167">
        <v>423.29</v>
      </c>
      <c r="G67" s="167">
        <f t="shared" si="6"/>
        <v>7228.6509487666035</v>
      </c>
      <c r="H67" s="167">
        <f t="shared" si="7"/>
        <v>179.67282352941177</v>
      </c>
      <c r="I67" s="167">
        <f t="shared" si="8"/>
        <v>1606.9075992409867</v>
      </c>
      <c r="J67" s="167">
        <f t="shared" si="10"/>
        <v>216.8595284629981</v>
      </c>
      <c r="K67" s="168">
        <f t="shared" si="9"/>
        <v>1234.7206287160027</v>
      </c>
    </row>
    <row r="68" spans="1:11" x14ac:dyDescent="0.25">
      <c r="A68" s="155" t="s">
        <v>269</v>
      </c>
      <c r="B68" s="155" t="s">
        <v>414</v>
      </c>
      <c r="C68" s="155" t="s">
        <v>408</v>
      </c>
      <c r="D68" s="156"/>
      <c r="E68" s="156">
        <f>8733.47</f>
        <v>8733.4699999999993</v>
      </c>
      <c r="F68" s="156">
        <f>423.29</f>
        <v>423.29</v>
      </c>
      <c r="G68" s="156">
        <f t="shared" si="6"/>
        <v>7239.5864326375713</v>
      </c>
      <c r="H68" s="156">
        <f t="shared" si="7"/>
        <v>179.67282352941177</v>
      </c>
      <c r="I68" s="156">
        <f t="shared" si="8"/>
        <v>1609.2040508538898</v>
      </c>
      <c r="J68" s="156">
        <f t="shared" si="10"/>
        <v>217.18759297912712</v>
      </c>
      <c r="K68" s="157">
        <f t="shared" si="9"/>
        <v>1236.5432093611639</v>
      </c>
    </row>
    <row r="69" spans="1:11" x14ac:dyDescent="0.25">
      <c r="A69" s="155" t="s">
        <v>282</v>
      </c>
      <c r="B69" s="155" t="s">
        <v>409</v>
      </c>
      <c r="C69" s="155" t="s">
        <v>408</v>
      </c>
      <c r="D69" s="156"/>
      <c r="E69" s="156">
        <f>9431.06</f>
        <v>9431.06</v>
      </c>
      <c r="F69" s="156">
        <f>-257.85</f>
        <v>-257.85000000000002</v>
      </c>
      <c r="G69" s="156">
        <f t="shared" ref="G69:G89" si="12">(E69+F69-H69)/1.24</f>
        <v>7252.852561669828</v>
      </c>
      <c r="H69" s="156">
        <f t="shared" ref="H69:H89" si="13">(4755.86+10462.89+16.7+36.74)/85</f>
        <v>179.67282352941177</v>
      </c>
      <c r="I69" s="156">
        <f t="shared" ref="I69:I89" si="14">(G69+F69)*0.21</f>
        <v>1468.9505379506638</v>
      </c>
      <c r="J69" s="156">
        <f t="shared" si="10"/>
        <v>217.58557685009484</v>
      </c>
      <c r="K69" s="157">
        <f t="shared" ref="K69:K89" si="15">(G69+H69)/6</f>
        <v>1238.75423086654</v>
      </c>
    </row>
    <row r="70" spans="1:11" x14ac:dyDescent="0.25">
      <c r="A70" s="166" t="s">
        <v>450</v>
      </c>
      <c r="B70" s="166" t="s">
        <v>451</v>
      </c>
      <c r="C70" s="166" t="s">
        <v>408</v>
      </c>
      <c r="D70" s="167"/>
      <c r="E70" s="167">
        <f>1817.45</f>
        <v>1817.45</v>
      </c>
      <c r="F70" s="167">
        <v>82</v>
      </c>
      <c r="G70" s="167">
        <f t="shared" si="12"/>
        <v>1386.9170777988616</v>
      </c>
      <c r="H70" s="167">
        <f t="shared" si="13"/>
        <v>179.67282352941177</v>
      </c>
      <c r="I70" s="167">
        <f t="shared" si="14"/>
        <v>308.4725863377609</v>
      </c>
      <c r="J70" s="167">
        <f t="shared" ref="J70:J89" si="16">+G70*0.03</f>
        <v>41.607512333965843</v>
      </c>
      <c r="K70" s="168">
        <f t="shared" si="15"/>
        <v>261.09831688804553</v>
      </c>
    </row>
    <row r="71" spans="1:11" x14ac:dyDescent="0.25">
      <c r="A71" s="166" t="s">
        <v>452</v>
      </c>
      <c r="B71" s="166" t="s">
        <v>453</v>
      </c>
      <c r="C71" s="166" t="s">
        <v>408</v>
      </c>
      <c r="D71" s="167"/>
      <c r="E71" s="167">
        <f>1817.45</f>
        <v>1817.45</v>
      </c>
      <c r="F71" s="167">
        <v>82</v>
      </c>
      <c r="G71" s="167">
        <f t="shared" si="12"/>
        <v>1386.9170777988616</v>
      </c>
      <c r="H71" s="167">
        <f t="shared" si="13"/>
        <v>179.67282352941177</v>
      </c>
      <c r="I71" s="167">
        <f t="shared" si="14"/>
        <v>308.4725863377609</v>
      </c>
      <c r="J71" s="167">
        <f t="shared" si="16"/>
        <v>41.607512333965843</v>
      </c>
      <c r="K71" s="168">
        <f t="shared" si="15"/>
        <v>261.09831688804553</v>
      </c>
    </row>
    <row r="72" spans="1:11" x14ac:dyDescent="0.25">
      <c r="A72" s="155" t="s">
        <v>285</v>
      </c>
      <c r="B72" s="155" t="s">
        <v>422</v>
      </c>
      <c r="C72" s="155" t="s">
        <v>408</v>
      </c>
      <c r="D72" s="156"/>
      <c r="E72" s="156">
        <f>8733.47</f>
        <v>8733.4699999999993</v>
      </c>
      <c r="F72" s="156">
        <f>423.29</f>
        <v>423.29</v>
      </c>
      <c r="G72" s="156">
        <f t="shared" si="12"/>
        <v>7239.5864326375713</v>
      </c>
      <c r="H72" s="156">
        <f t="shared" si="13"/>
        <v>179.67282352941177</v>
      </c>
      <c r="I72" s="156">
        <f t="shared" si="14"/>
        <v>1609.2040508538898</v>
      </c>
      <c r="J72" s="156">
        <f t="shared" si="16"/>
        <v>217.18759297912712</v>
      </c>
      <c r="K72" s="157">
        <f t="shared" si="15"/>
        <v>1236.5432093611639</v>
      </c>
    </row>
    <row r="73" spans="1:11" x14ac:dyDescent="0.25">
      <c r="A73" s="158" t="s">
        <v>283</v>
      </c>
      <c r="B73" s="158" t="s">
        <v>476</v>
      </c>
      <c r="C73" s="158" t="s">
        <v>408</v>
      </c>
      <c r="D73" s="159"/>
      <c r="E73" s="159">
        <f>1817.45</f>
        <v>1817.45</v>
      </c>
      <c r="F73" s="159">
        <v>82</v>
      </c>
      <c r="G73" s="159">
        <f t="shared" si="12"/>
        <v>1386.9170777988616</v>
      </c>
      <c r="H73" s="159">
        <f t="shared" si="13"/>
        <v>179.67282352941177</v>
      </c>
      <c r="I73" s="159">
        <f t="shared" si="14"/>
        <v>308.4725863377609</v>
      </c>
      <c r="J73" s="159">
        <f t="shared" si="16"/>
        <v>41.607512333965843</v>
      </c>
      <c r="K73" s="160">
        <f t="shared" si="15"/>
        <v>261.09831688804553</v>
      </c>
    </row>
    <row r="74" spans="1:11" x14ac:dyDescent="0.25">
      <c r="A74" s="158" t="s">
        <v>258</v>
      </c>
      <c r="B74" s="158" t="s">
        <v>477</v>
      </c>
      <c r="C74" s="158" t="s">
        <v>408</v>
      </c>
      <c r="D74" s="159"/>
      <c r="E74" s="159">
        <f>1817.45</f>
        <v>1817.45</v>
      </c>
      <c r="F74" s="159">
        <v>82</v>
      </c>
      <c r="G74" s="159">
        <f t="shared" si="12"/>
        <v>1386.9170777988616</v>
      </c>
      <c r="H74" s="159">
        <f t="shared" si="13"/>
        <v>179.67282352941177</v>
      </c>
      <c r="I74" s="159">
        <f t="shared" si="14"/>
        <v>308.4725863377609</v>
      </c>
      <c r="J74" s="159">
        <f t="shared" si="16"/>
        <v>41.607512333965843</v>
      </c>
      <c r="K74" s="160">
        <f t="shared" si="15"/>
        <v>261.09831688804553</v>
      </c>
    </row>
    <row r="75" spans="1:11" x14ac:dyDescent="0.25">
      <c r="A75" s="158" t="s">
        <v>155</v>
      </c>
      <c r="B75" s="158" t="s">
        <v>454</v>
      </c>
      <c r="C75" s="158" t="s">
        <v>408</v>
      </c>
      <c r="D75" s="159"/>
      <c r="E75" s="159">
        <f>1817.45</f>
        <v>1817.45</v>
      </c>
      <c r="F75" s="159">
        <v>82</v>
      </c>
      <c r="G75" s="159">
        <f t="shared" si="12"/>
        <v>1386.9170777988616</v>
      </c>
      <c r="H75" s="159">
        <f t="shared" si="13"/>
        <v>179.67282352941177</v>
      </c>
      <c r="I75" s="159">
        <f t="shared" si="14"/>
        <v>308.4725863377609</v>
      </c>
      <c r="J75" s="159">
        <f t="shared" si="16"/>
        <v>41.607512333965843</v>
      </c>
      <c r="K75" s="160">
        <f t="shared" si="15"/>
        <v>261.09831688804553</v>
      </c>
    </row>
    <row r="76" spans="1:11" x14ac:dyDescent="0.25">
      <c r="A76" s="155" t="s">
        <v>288</v>
      </c>
      <c r="B76" s="155" t="s">
        <v>420</v>
      </c>
      <c r="C76" s="155" t="s">
        <v>408</v>
      </c>
      <c r="D76" s="156"/>
      <c r="E76" s="156">
        <f>8733.47</f>
        <v>8733.4699999999993</v>
      </c>
      <c r="F76" s="156">
        <f>423.29</f>
        <v>423.29</v>
      </c>
      <c r="G76" s="156">
        <f t="shared" si="12"/>
        <v>7239.5864326375713</v>
      </c>
      <c r="H76" s="156">
        <f t="shared" si="13"/>
        <v>179.67282352941177</v>
      </c>
      <c r="I76" s="156">
        <f t="shared" si="14"/>
        <v>1609.2040508538898</v>
      </c>
      <c r="J76" s="156">
        <f t="shared" si="16"/>
        <v>217.18759297912712</v>
      </c>
      <c r="K76" s="157">
        <f t="shared" si="15"/>
        <v>1236.5432093611639</v>
      </c>
    </row>
    <row r="77" spans="1:11" x14ac:dyDescent="0.25">
      <c r="A77" s="158" t="s">
        <v>232</v>
      </c>
      <c r="B77" s="158" t="s">
        <v>457</v>
      </c>
      <c r="C77" s="158" t="s">
        <v>408</v>
      </c>
      <c r="D77" s="159"/>
      <c r="E77" s="159">
        <f>1817.45</f>
        <v>1817.45</v>
      </c>
      <c r="F77" s="159">
        <v>82</v>
      </c>
      <c r="G77" s="159">
        <f t="shared" si="12"/>
        <v>1386.9170777988616</v>
      </c>
      <c r="H77" s="159">
        <f t="shared" si="13"/>
        <v>179.67282352941177</v>
      </c>
      <c r="I77" s="159">
        <f t="shared" si="14"/>
        <v>308.4725863377609</v>
      </c>
      <c r="J77" s="159">
        <f t="shared" si="16"/>
        <v>41.607512333965843</v>
      </c>
      <c r="K77" s="160">
        <f t="shared" si="15"/>
        <v>261.09831688804553</v>
      </c>
    </row>
    <row r="78" spans="1:11" x14ac:dyDescent="0.25">
      <c r="A78" s="169" t="s">
        <v>405</v>
      </c>
      <c r="B78" s="169" t="s">
        <v>406</v>
      </c>
      <c r="C78" s="169" t="s">
        <v>404</v>
      </c>
      <c r="D78" s="170"/>
      <c r="E78" s="170">
        <f>8901.09</f>
        <v>8901.09</v>
      </c>
      <c r="F78" s="170">
        <f>-589.04</f>
        <v>-589.04</v>
      </c>
      <c r="G78" s="170">
        <f t="shared" si="12"/>
        <v>6558.3686907020865</v>
      </c>
      <c r="H78" s="170">
        <f t="shared" si="13"/>
        <v>179.67282352941177</v>
      </c>
      <c r="I78" s="170">
        <f t="shared" si="14"/>
        <v>1253.5590250474381</v>
      </c>
      <c r="J78" s="170">
        <f t="shared" si="16"/>
        <v>196.7510607210626</v>
      </c>
      <c r="K78" s="171">
        <f t="shared" si="15"/>
        <v>1123.0069190385832</v>
      </c>
    </row>
    <row r="79" spans="1:11" x14ac:dyDescent="0.25">
      <c r="A79" s="155" t="s">
        <v>302</v>
      </c>
      <c r="B79" s="155" t="s">
        <v>426</v>
      </c>
      <c r="C79" s="155" t="s">
        <v>408</v>
      </c>
      <c r="D79" s="156"/>
      <c r="E79" s="156">
        <f>8719.91</f>
        <v>8719.91</v>
      </c>
      <c r="F79" s="156">
        <v>423.29</v>
      </c>
      <c r="G79" s="156">
        <f t="shared" si="12"/>
        <v>7228.6509487666035</v>
      </c>
      <c r="H79" s="156">
        <f t="shared" si="13"/>
        <v>179.67282352941177</v>
      </c>
      <c r="I79" s="156">
        <f t="shared" si="14"/>
        <v>1606.9075992409867</v>
      </c>
      <c r="J79" s="156">
        <f t="shared" si="16"/>
        <v>216.8595284629981</v>
      </c>
      <c r="K79" s="157">
        <f t="shared" si="15"/>
        <v>1234.7206287160027</v>
      </c>
    </row>
    <row r="80" spans="1:11" x14ac:dyDescent="0.25">
      <c r="A80" s="158" t="s">
        <v>134</v>
      </c>
      <c r="B80" s="158" t="s">
        <v>490</v>
      </c>
      <c r="C80" s="158" t="s">
        <v>408</v>
      </c>
      <c r="D80" s="159"/>
      <c r="E80" s="159">
        <f>1817.45</f>
        <v>1817.45</v>
      </c>
      <c r="F80" s="159">
        <v>82</v>
      </c>
      <c r="G80" s="159">
        <f t="shared" si="12"/>
        <v>1386.9170777988616</v>
      </c>
      <c r="H80" s="159">
        <f t="shared" si="13"/>
        <v>179.67282352941177</v>
      </c>
      <c r="I80" s="159">
        <f t="shared" si="14"/>
        <v>308.4725863377609</v>
      </c>
      <c r="J80" s="159">
        <f t="shared" si="16"/>
        <v>41.607512333965843</v>
      </c>
      <c r="K80" s="160">
        <f t="shared" si="15"/>
        <v>261.09831688804553</v>
      </c>
    </row>
    <row r="81" spans="1:11" x14ac:dyDescent="0.25">
      <c r="A81" s="158" t="s">
        <v>204</v>
      </c>
      <c r="B81" s="158" t="s">
        <v>459</v>
      </c>
      <c r="C81" s="158" t="s">
        <v>408</v>
      </c>
      <c r="D81" s="159"/>
      <c r="E81" s="159">
        <f>1817.45</f>
        <v>1817.45</v>
      </c>
      <c r="F81" s="159">
        <v>82</v>
      </c>
      <c r="G81" s="159">
        <f t="shared" si="12"/>
        <v>1386.9170777988616</v>
      </c>
      <c r="H81" s="159">
        <f t="shared" si="13"/>
        <v>179.67282352941177</v>
      </c>
      <c r="I81" s="159">
        <f t="shared" si="14"/>
        <v>308.4725863377609</v>
      </c>
      <c r="J81" s="159">
        <f t="shared" si="16"/>
        <v>41.607512333965843</v>
      </c>
      <c r="K81" s="160">
        <f t="shared" si="15"/>
        <v>261.09831688804553</v>
      </c>
    </row>
    <row r="82" spans="1:11" x14ac:dyDescent="0.25">
      <c r="A82" s="155" t="s">
        <v>316</v>
      </c>
      <c r="B82" s="155" t="s">
        <v>494</v>
      </c>
      <c r="C82" s="155" t="s">
        <v>408</v>
      </c>
      <c r="D82" s="156"/>
      <c r="E82" s="156">
        <f>8719.91</f>
        <v>8719.91</v>
      </c>
      <c r="F82" s="156">
        <v>410.04</v>
      </c>
      <c r="G82" s="156">
        <f t="shared" si="12"/>
        <v>7217.9654648956357</v>
      </c>
      <c r="H82" s="156">
        <f t="shared" si="13"/>
        <v>179.67282352941177</v>
      </c>
      <c r="I82" s="156">
        <f t="shared" si="14"/>
        <v>1601.8811476280835</v>
      </c>
      <c r="J82" s="156">
        <f t="shared" si="16"/>
        <v>216.53896394686907</v>
      </c>
      <c r="K82" s="157">
        <f t="shared" si="15"/>
        <v>1232.939714737508</v>
      </c>
    </row>
    <row r="83" spans="1:11" x14ac:dyDescent="0.25">
      <c r="A83" s="158" t="s">
        <v>300</v>
      </c>
      <c r="B83" s="158" t="s">
        <v>492</v>
      </c>
      <c r="C83" s="158" t="s">
        <v>408</v>
      </c>
      <c r="D83" s="159"/>
      <c r="E83" s="159">
        <f>1817.45</f>
        <v>1817.45</v>
      </c>
      <c r="F83" s="159">
        <v>82</v>
      </c>
      <c r="G83" s="159">
        <f t="shared" si="12"/>
        <v>1386.9170777988616</v>
      </c>
      <c r="H83" s="159">
        <f t="shared" si="13"/>
        <v>179.67282352941177</v>
      </c>
      <c r="I83" s="159">
        <f t="shared" si="14"/>
        <v>308.4725863377609</v>
      </c>
      <c r="J83" s="159">
        <f t="shared" si="16"/>
        <v>41.607512333965843</v>
      </c>
      <c r="K83" s="160">
        <f t="shared" si="15"/>
        <v>261.09831688804553</v>
      </c>
    </row>
    <row r="84" spans="1:11" x14ac:dyDescent="0.25">
      <c r="A84" s="155" t="s">
        <v>319</v>
      </c>
      <c r="B84" s="155" t="s">
        <v>491</v>
      </c>
      <c r="C84" s="155" t="s">
        <v>408</v>
      </c>
      <c r="D84" s="156"/>
      <c r="E84" s="156">
        <f>8719.91</f>
        <v>8719.91</v>
      </c>
      <c r="F84" s="156">
        <v>410.04</v>
      </c>
      <c r="G84" s="156">
        <f t="shared" si="12"/>
        <v>7217.9654648956357</v>
      </c>
      <c r="H84" s="156">
        <f t="shared" si="13"/>
        <v>179.67282352941177</v>
      </c>
      <c r="I84" s="156">
        <f t="shared" si="14"/>
        <v>1601.8811476280835</v>
      </c>
      <c r="J84" s="156">
        <f t="shared" si="16"/>
        <v>216.53896394686907</v>
      </c>
      <c r="K84" s="157">
        <f t="shared" si="15"/>
        <v>1232.939714737508</v>
      </c>
    </row>
    <row r="85" spans="1:11" x14ac:dyDescent="0.25">
      <c r="A85" s="158" t="s">
        <v>313</v>
      </c>
      <c r="B85" s="158" t="s">
        <v>460</v>
      </c>
      <c r="C85" s="158" t="s">
        <v>408</v>
      </c>
      <c r="D85" s="159"/>
      <c r="E85" s="159">
        <f>1817.45</f>
        <v>1817.45</v>
      </c>
      <c r="F85" s="159">
        <v>82</v>
      </c>
      <c r="G85" s="159">
        <f t="shared" si="12"/>
        <v>1386.9170777988616</v>
      </c>
      <c r="H85" s="159">
        <f t="shared" si="13"/>
        <v>179.67282352941177</v>
      </c>
      <c r="I85" s="159">
        <f t="shared" si="14"/>
        <v>308.4725863377609</v>
      </c>
      <c r="J85" s="159">
        <f t="shared" si="16"/>
        <v>41.607512333965843</v>
      </c>
      <c r="K85" s="160">
        <f t="shared" si="15"/>
        <v>261.09831688804553</v>
      </c>
    </row>
    <row r="86" spans="1:11" x14ac:dyDescent="0.25">
      <c r="A86" s="158" t="s">
        <v>161</v>
      </c>
      <c r="B86" s="158" t="s">
        <v>485</v>
      </c>
      <c r="C86" s="158" t="s">
        <v>408</v>
      </c>
      <c r="D86" s="159"/>
      <c r="E86" s="159">
        <f>1726.57</f>
        <v>1726.57</v>
      </c>
      <c r="F86" s="159">
        <v>77.900000000000006</v>
      </c>
      <c r="G86" s="159">
        <f t="shared" si="12"/>
        <v>1310.320303605313</v>
      </c>
      <c r="H86" s="159">
        <f t="shared" si="13"/>
        <v>179.67282352941177</v>
      </c>
      <c r="I86" s="159">
        <f t="shared" si="14"/>
        <v>291.52626375711577</v>
      </c>
      <c r="J86" s="159">
        <f t="shared" si="16"/>
        <v>39.309609108159393</v>
      </c>
      <c r="K86" s="160">
        <f t="shared" si="15"/>
        <v>248.33218785578745</v>
      </c>
    </row>
    <row r="87" spans="1:11" x14ac:dyDescent="0.25">
      <c r="A87" s="158" t="s">
        <v>55</v>
      </c>
      <c r="B87" s="158" t="s">
        <v>470</v>
      </c>
      <c r="C87" s="158" t="s">
        <v>408</v>
      </c>
      <c r="D87" s="159"/>
      <c r="E87" s="159">
        <f>1817.45</f>
        <v>1817.45</v>
      </c>
      <c r="F87" s="159">
        <v>82</v>
      </c>
      <c r="G87" s="159">
        <f t="shared" si="12"/>
        <v>1386.9170777988616</v>
      </c>
      <c r="H87" s="159">
        <f t="shared" si="13"/>
        <v>179.67282352941177</v>
      </c>
      <c r="I87" s="159">
        <f t="shared" si="14"/>
        <v>308.4725863377609</v>
      </c>
      <c r="J87" s="159">
        <f t="shared" si="16"/>
        <v>41.607512333965843</v>
      </c>
      <c r="K87" s="160">
        <f t="shared" si="15"/>
        <v>261.09831688804553</v>
      </c>
    </row>
    <row r="88" spans="1:11" x14ac:dyDescent="0.25">
      <c r="A88" s="158" t="s">
        <v>100</v>
      </c>
      <c r="B88" s="158" t="s">
        <v>484</v>
      </c>
      <c r="C88" s="158" t="s">
        <v>408</v>
      </c>
      <c r="D88" s="159"/>
      <c r="E88" s="159">
        <f>1726.57</f>
        <v>1726.57</v>
      </c>
      <c r="F88" s="159">
        <v>77.900000000000006</v>
      </c>
      <c r="G88" s="159">
        <f t="shared" si="12"/>
        <v>1310.320303605313</v>
      </c>
      <c r="H88" s="159">
        <f t="shared" si="13"/>
        <v>179.67282352941177</v>
      </c>
      <c r="I88" s="159">
        <f t="shared" si="14"/>
        <v>291.52626375711577</v>
      </c>
      <c r="J88" s="159">
        <f t="shared" si="16"/>
        <v>39.309609108159393</v>
      </c>
      <c r="K88" s="160">
        <f t="shared" si="15"/>
        <v>248.33218785578745</v>
      </c>
    </row>
    <row r="89" spans="1:11" x14ac:dyDescent="0.25">
      <c r="A89" s="158" t="s">
        <v>175</v>
      </c>
      <c r="B89" s="158" t="s">
        <v>458</v>
      </c>
      <c r="C89" s="158" t="s">
        <v>408</v>
      </c>
      <c r="D89" s="159"/>
      <c r="E89" s="159">
        <f>1817.45</f>
        <v>1817.45</v>
      </c>
      <c r="F89" s="159">
        <v>82</v>
      </c>
      <c r="G89" s="159">
        <f t="shared" si="12"/>
        <v>1386.9170777988616</v>
      </c>
      <c r="H89" s="159">
        <f t="shared" si="13"/>
        <v>179.67282352941177</v>
      </c>
      <c r="I89" s="159">
        <f t="shared" si="14"/>
        <v>308.4725863377609</v>
      </c>
      <c r="J89" s="159">
        <f t="shared" si="16"/>
        <v>41.607512333965843</v>
      </c>
      <c r="K89" s="160">
        <f t="shared" si="15"/>
        <v>261.09831688804553</v>
      </c>
    </row>
    <row r="90" spans="1:11" x14ac:dyDescent="0.25">
      <c r="A90" s="146" t="s">
        <v>507</v>
      </c>
      <c r="B90" s="153"/>
      <c r="C90" s="153"/>
      <c r="D90" s="153"/>
      <c r="E90" s="154">
        <f t="shared" ref="E90:K90" si="17">SUM(E5:E89)</f>
        <v>604944.84999999974</v>
      </c>
      <c r="F90" s="154">
        <f t="shared" si="17"/>
        <v>2074.5499999999965</v>
      </c>
      <c r="G90" s="154">
        <f t="shared" si="17"/>
        <v>477215.49193548394</v>
      </c>
      <c r="H90" s="154">
        <f t="shared" si="17"/>
        <v>15272.190000000026</v>
      </c>
      <c r="I90" s="154">
        <f t="shared" si="17"/>
        <v>100650.90880645183</v>
      </c>
      <c r="J90" s="154">
        <f t="shared" si="17"/>
        <v>14316.464758064498</v>
      </c>
      <c r="K90" s="26">
        <f t="shared" si="17"/>
        <v>82081.280322580817</v>
      </c>
    </row>
    <row r="92" spans="1:11" x14ac:dyDescent="0.25">
      <c r="E92" s="149"/>
      <c r="G92" s="149"/>
      <c r="H92" s="149"/>
      <c r="I92" s="149"/>
      <c r="J92" s="149"/>
    </row>
    <row r="93" spans="1:11" x14ac:dyDescent="0.25">
      <c r="I93" s="149"/>
    </row>
    <row r="94" spans="1:11" x14ac:dyDescent="0.25">
      <c r="J94" s="149"/>
    </row>
  </sheetData>
  <autoFilter ref="A4:K4" xr:uid="{00000000-0009-0000-0000-000035000000}">
    <sortState xmlns:xlrd2="http://schemas.microsoft.com/office/spreadsheetml/2017/richdata2" ref="A5:K90">
      <sortCondition ref="A4"/>
    </sortState>
  </autoFilter>
  <mergeCells count="5">
    <mergeCell ref="A1:K2"/>
    <mergeCell ref="M4:N4"/>
    <mergeCell ref="M6:N6"/>
    <mergeCell ref="M8:N8"/>
    <mergeCell ref="M10:N10"/>
  </mergeCells>
  <pageMargins left="0.7" right="0.7" top="0.75" bottom="0.75" header="0.3" footer="0.3"/>
  <pageSetup paperSize="9"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7030A0"/>
  </sheetPr>
  <dimension ref="A1:L95"/>
  <sheetViews>
    <sheetView topLeftCell="A52" workbookViewId="0">
      <selection activeCell="I9" sqref="I9"/>
    </sheetView>
  </sheetViews>
  <sheetFormatPr baseColWidth="10" defaultRowHeight="15" customHeight="1" x14ac:dyDescent="0.25"/>
  <cols>
    <col min="1" max="1" width="11.28515625" style="172" customWidth="1"/>
    <col min="2" max="2" width="20.7109375" style="172" hidden="1" customWidth="1"/>
    <col min="3" max="3" width="16.5703125" style="172" hidden="1" customWidth="1"/>
    <col min="4" max="4" width="8.42578125" style="174" hidden="1" customWidth="1"/>
    <col min="5" max="5" width="18.5703125" style="172" hidden="1" customWidth="1"/>
    <col min="6" max="6" width="15" style="172" hidden="1" customWidth="1"/>
    <col min="7" max="7" width="8.42578125" style="172" hidden="1" customWidth="1"/>
    <col min="8" max="8" width="0" style="172" hidden="1" customWidth="1"/>
    <col min="9" max="9" width="12.5703125" style="178" bestFit="1" customWidth="1"/>
    <col min="10" max="16384" width="11.42578125" style="172"/>
  </cols>
  <sheetData>
    <row r="1" spans="1:12" ht="15" customHeight="1" x14ac:dyDescent="0.25">
      <c r="A1" s="695" t="s">
        <v>519</v>
      </c>
      <c r="B1" s="695"/>
      <c r="C1" s="695"/>
      <c r="D1" s="695"/>
      <c r="E1" s="695"/>
      <c r="F1" s="695"/>
      <c r="G1" s="695"/>
      <c r="H1" s="695"/>
      <c r="I1" s="695"/>
    </row>
    <row r="2" spans="1:12" ht="15" customHeight="1" x14ac:dyDescent="0.25">
      <c r="A2" s="695"/>
      <c r="B2" s="695"/>
      <c r="C2" s="695"/>
      <c r="D2" s="695"/>
      <c r="E2" s="695"/>
      <c r="F2" s="695"/>
      <c r="G2" s="695"/>
      <c r="H2" s="695"/>
      <c r="I2" s="695"/>
    </row>
    <row r="3" spans="1:12" ht="15" customHeight="1" thickBot="1" x14ac:dyDescent="0.3"/>
    <row r="4" spans="1:12" ht="15" customHeight="1" thickBot="1" x14ac:dyDescent="0.3">
      <c r="A4" s="146" t="s">
        <v>506</v>
      </c>
      <c r="B4" s="180" t="s">
        <v>515</v>
      </c>
      <c r="C4" s="180" t="s">
        <v>516</v>
      </c>
      <c r="D4" s="181"/>
      <c r="E4" s="180" t="s">
        <v>517</v>
      </c>
      <c r="F4" s="180" t="s">
        <v>518</v>
      </c>
      <c r="G4" s="180"/>
      <c r="H4" s="182"/>
      <c r="I4" s="26" t="s">
        <v>507</v>
      </c>
      <c r="K4" s="687" t="s">
        <v>511</v>
      </c>
      <c r="L4" s="688"/>
    </row>
    <row r="5" spans="1:12" ht="15" customHeight="1" thickBot="1" x14ac:dyDescent="0.3">
      <c r="A5" s="200" t="s">
        <v>399</v>
      </c>
      <c r="B5" s="170">
        <v>4740</v>
      </c>
      <c r="C5" s="170">
        <v>7935</v>
      </c>
      <c r="D5" s="201">
        <f>+(C5/B5)-1</f>
        <v>0.67405063291139244</v>
      </c>
      <c r="E5" s="170">
        <v>16615</v>
      </c>
      <c r="F5" s="170">
        <v>27872.51</v>
      </c>
      <c r="G5" s="170">
        <f>+(F5/E5)-1</f>
        <v>0.67755100812518809</v>
      </c>
      <c r="H5" s="202"/>
      <c r="I5" s="199">
        <f>+C5*4/12</f>
        <v>2645</v>
      </c>
      <c r="K5" s="108"/>
      <c r="L5" s="108"/>
    </row>
    <row r="6" spans="1:12" ht="15" customHeight="1" thickBot="1" x14ac:dyDescent="0.3">
      <c r="A6" s="203" t="s">
        <v>440</v>
      </c>
      <c r="B6" s="167">
        <v>1137.6300000000001</v>
      </c>
      <c r="C6" s="167">
        <v>3907.16</v>
      </c>
      <c r="D6" s="204">
        <f>+(C6/B6)-1</f>
        <v>2.4344734228176117</v>
      </c>
      <c r="E6" s="167">
        <v>4006.68</v>
      </c>
      <c r="F6" s="167">
        <v>13775.07</v>
      </c>
      <c r="G6" s="167">
        <f>+(F6/E6)-1</f>
        <v>2.4380259965857021</v>
      </c>
      <c r="H6" s="205"/>
      <c r="I6" s="196">
        <f>+C6*4/12</f>
        <v>1302.3866666666665</v>
      </c>
      <c r="K6" s="689" t="s">
        <v>512</v>
      </c>
      <c r="L6" s="690"/>
    </row>
    <row r="7" spans="1:12" ht="15" customHeight="1" thickBot="1" x14ac:dyDescent="0.3">
      <c r="A7" s="203" t="s">
        <v>442</v>
      </c>
      <c r="B7" s="167">
        <v>1137.6300000000001</v>
      </c>
      <c r="C7" s="167">
        <v>3907.16</v>
      </c>
      <c r="D7" s="204">
        <f>+(C7/B7)-1</f>
        <v>2.4344734228176117</v>
      </c>
      <c r="E7" s="167">
        <v>4006.68</v>
      </c>
      <c r="F7" s="167">
        <v>13775.07</v>
      </c>
      <c r="G7" s="167">
        <f>+(F7/E7)-1</f>
        <v>2.4380259965857021</v>
      </c>
      <c r="H7" s="205"/>
      <c r="I7" s="196">
        <f>+C7*4/12</f>
        <v>1302.3866666666665</v>
      </c>
      <c r="K7" s="108"/>
      <c r="L7" s="108"/>
    </row>
    <row r="8" spans="1:12" ht="15" customHeight="1" thickBot="1" x14ac:dyDescent="0.3">
      <c r="A8" s="203" t="s">
        <v>438</v>
      </c>
      <c r="B8" s="167">
        <v>1040.47</v>
      </c>
      <c r="C8" s="167">
        <v>3166.68</v>
      </c>
      <c r="D8" s="204">
        <f>+(C8/B8)-1</f>
        <v>2.043509183349832</v>
      </c>
      <c r="E8" s="167">
        <v>3666.63</v>
      </c>
      <c r="F8" s="167">
        <v>11183.39</v>
      </c>
      <c r="G8" s="167">
        <f>+(F8/E8)-1</f>
        <v>2.0500459550050043</v>
      </c>
      <c r="H8" s="205"/>
      <c r="I8" s="196">
        <f>+C8*4/12</f>
        <v>1055.56</v>
      </c>
      <c r="K8" s="691" t="s">
        <v>513</v>
      </c>
      <c r="L8" s="692"/>
    </row>
    <row r="9" spans="1:12" ht="15" customHeight="1" thickBot="1" x14ac:dyDescent="0.3">
      <c r="A9" s="183" t="s">
        <v>99</v>
      </c>
      <c r="B9" s="156">
        <v>7338.07</v>
      </c>
      <c r="C9" s="156">
        <v>12797.2</v>
      </c>
      <c r="D9" s="184">
        <f t="shared" ref="D9:D20" si="0">+(C9/B9)-1</f>
        <v>0.74394629650575705</v>
      </c>
      <c r="E9" s="156">
        <v>25708.2</v>
      </c>
      <c r="F9" s="156">
        <v>44890.18</v>
      </c>
      <c r="G9" s="156">
        <f t="shared" ref="G9:G20" si="1">+(F9/E9)-1</f>
        <v>0.74614247594152827</v>
      </c>
      <c r="H9" s="185"/>
      <c r="I9" s="134">
        <f t="shared" ref="I9:I20" si="2">+C9*4/12</f>
        <v>4265.7333333333336</v>
      </c>
      <c r="K9" s="108"/>
      <c r="L9" s="108"/>
    </row>
    <row r="10" spans="1:12" ht="15" customHeight="1" thickBot="1" x14ac:dyDescent="0.3">
      <c r="A10" s="183" t="s">
        <v>105</v>
      </c>
      <c r="B10" s="156">
        <v>7338.07</v>
      </c>
      <c r="C10" s="156">
        <v>12797.200999999999</v>
      </c>
      <c r="D10" s="184">
        <f t="shared" si="0"/>
        <v>0.74394643278137162</v>
      </c>
      <c r="E10" s="156">
        <v>25708.2</v>
      </c>
      <c r="F10" s="156">
        <v>44890.18</v>
      </c>
      <c r="G10" s="156">
        <f t="shared" si="1"/>
        <v>0.74614247594152827</v>
      </c>
      <c r="H10" s="185"/>
      <c r="I10" s="134">
        <f t="shared" si="2"/>
        <v>4265.7336666666661</v>
      </c>
      <c r="K10" s="693" t="s">
        <v>514</v>
      </c>
      <c r="L10" s="694"/>
    </row>
    <row r="11" spans="1:12" ht="15" customHeight="1" x14ac:dyDescent="0.25">
      <c r="A11" s="183" t="s">
        <v>117</v>
      </c>
      <c r="B11" s="156">
        <v>7338.07</v>
      </c>
      <c r="C11" s="156">
        <v>12797.2</v>
      </c>
      <c r="D11" s="184">
        <f t="shared" si="0"/>
        <v>0.74394629650575705</v>
      </c>
      <c r="E11" s="156">
        <v>25708.2</v>
      </c>
      <c r="F11" s="156">
        <v>44890.18</v>
      </c>
      <c r="G11" s="156">
        <f t="shared" si="1"/>
        <v>0.74614247594152827</v>
      </c>
      <c r="H11" s="185"/>
      <c r="I11" s="134">
        <f t="shared" si="2"/>
        <v>4265.7333333333336</v>
      </c>
    </row>
    <row r="12" spans="1:12" ht="15" customHeight="1" x14ac:dyDescent="0.25">
      <c r="A12" s="183" t="s">
        <v>123</v>
      </c>
      <c r="B12" s="156">
        <v>7338.07</v>
      </c>
      <c r="C12" s="156">
        <v>12797.2</v>
      </c>
      <c r="D12" s="184">
        <f t="shared" si="0"/>
        <v>0.74394629650575705</v>
      </c>
      <c r="E12" s="156">
        <v>25708.2</v>
      </c>
      <c r="F12" s="156">
        <v>44890.18</v>
      </c>
      <c r="G12" s="156">
        <f t="shared" si="1"/>
        <v>0.74614247594152827</v>
      </c>
      <c r="H12" s="185"/>
      <c r="I12" s="144">
        <f t="shared" si="2"/>
        <v>4265.7333333333336</v>
      </c>
    </row>
    <row r="13" spans="1:12" ht="15" customHeight="1" x14ac:dyDescent="0.25">
      <c r="A13" s="161" t="s">
        <v>246</v>
      </c>
      <c r="B13" s="159">
        <v>2024.19</v>
      </c>
      <c r="C13" s="159">
        <v>1821.77</v>
      </c>
      <c r="D13" s="186">
        <f t="shared" si="0"/>
        <v>-0.1000004940247704</v>
      </c>
      <c r="E13" s="159">
        <v>7109.64</v>
      </c>
      <c r="F13" s="159">
        <v>6476.19</v>
      </c>
      <c r="G13" s="159">
        <f t="shared" si="1"/>
        <v>-8.9097338261853065E-2</v>
      </c>
      <c r="H13" s="187"/>
      <c r="I13" s="135">
        <f t="shared" si="2"/>
        <v>607.25666666666666</v>
      </c>
    </row>
    <row r="14" spans="1:12" ht="15" customHeight="1" x14ac:dyDescent="0.25">
      <c r="A14" s="161" t="s">
        <v>142</v>
      </c>
      <c r="B14" s="159">
        <v>4138.2299999999996</v>
      </c>
      <c r="C14" s="159">
        <v>2979.52</v>
      </c>
      <c r="D14" s="186">
        <f t="shared" si="0"/>
        <v>-0.28000135323556197</v>
      </c>
      <c r="E14" s="159">
        <v>16577.900000000001</v>
      </c>
      <c r="F14" s="159">
        <v>10528.32</v>
      </c>
      <c r="G14" s="159">
        <f t="shared" si="1"/>
        <v>-0.36491835515958004</v>
      </c>
      <c r="H14" s="187"/>
      <c r="I14" s="135">
        <f t="shared" si="2"/>
        <v>993.17333333333329</v>
      </c>
    </row>
    <row r="15" spans="1:12" ht="15" customHeight="1" x14ac:dyDescent="0.25">
      <c r="A15" s="183" t="s">
        <v>141</v>
      </c>
      <c r="B15" s="156">
        <v>8153.41</v>
      </c>
      <c r="C15" s="156">
        <v>13756.99</v>
      </c>
      <c r="D15" s="184">
        <f t="shared" si="0"/>
        <v>0.68726827180284067</v>
      </c>
      <c r="E15" s="156">
        <v>28561.9</v>
      </c>
      <c r="F15" s="156">
        <v>48249.46</v>
      </c>
      <c r="G15" s="156">
        <f t="shared" si="1"/>
        <v>0.68929447970898283</v>
      </c>
      <c r="H15" s="185"/>
      <c r="I15" s="134">
        <f t="shared" si="2"/>
        <v>4585.663333333333</v>
      </c>
    </row>
    <row r="16" spans="1:12" ht="15" customHeight="1" x14ac:dyDescent="0.25">
      <c r="A16" s="183" t="s">
        <v>146</v>
      </c>
      <c r="B16" s="156">
        <v>8153.41</v>
      </c>
      <c r="C16" s="156">
        <v>13756.99</v>
      </c>
      <c r="D16" s="184">
        <f t="shared" si="0"/>
        <v>0.68726827180284067</v>
      </c>
      <c r="E16" s="156">
        <v>28561.9</v>
      </c>
      <c r="F16" s="156">
        <v>48249.46</v>
      </c>
      <c r="G16" s="156">
        <f t="shared" si="1"/>
        <v>0.68929447970898283</v>
      </c>
      <c r="H16" s="185"/>
      <c r="I16" s="134">
        <f t="shared" si="2"/>
        <v>4585.663333333333</v>
      </c>
    </row>
    <row r="17" spans="1:9" ht="15" customHeight="1" x14ac:dyDescent="0.25">
      <c r="A17" s="183" t="s">
        <v>150</v>
      </c>
      <c r="B17" s="156">
        <v>8153.41</v>
      </c>
      <c r="C17" s="156">
        <v>13756.99</v>
      </c>
      <c r="D17" s="184">
        <f t="shared" si="0"/>
        <v>0.68726827180284067</v>
      </c>
      <c r="E17" s="156">
        <v>28561.9</v>
      </c>
      <c r="F17" s="156">
        <v>48249.46</v>
      </c>
      <c r="G17" s="156">
        <f t="shared" si="1"/>
        <v>0.68929447970898283</v>
      </c>
      <c r="H17" s="185"/>
      <c r="I17" s="134">
        <f t="shared" si="2"/>
        <v>4585.663333333333</v>
      </c>
    </row>
    <row r="18" spans="1:9" ht="15" customHeight="1" x14ac:dyDescent="0.25">
      <c r="A18" s="161" t="s">
        <v>147</v>
      </c>
      <c r="B18" s="159">
        <v>6687.5</v>
      </c>
      <c r="C18" s="159">
        <v>4815</v>
      </c>
      <c r="D18" s="186">
        <f t="shared" si="0"/>
        <v>-0.28000000000000003</v>
      </c>
      <c r="E18" s="159">
        <v>26775</v>
      </c>
      <c r="F18" s="159">
        <v>16952.509999999998</v>
      </c>
      <c r="G18" s="159">
        <f t="shared" si="1"/>
        <v>-0.36685303454715223</v>
      </c>
      <c r="H18" s="187"/>
      <c r="I18" s="135">
        <f t="shared" si="2"/>
        <v>1605</v>
      </c>
    </row>
    <row r="19" spans="1:9" ht="15" customHeight="1" x14ac:dyDescent="0.25">
      <c r="A19" s="203" t="s">
        <v>499</v>
      </c>
      <c r="B19" s="167">
        <v>2823.25</v>
      </c>
      <c r="C19" s="167">
        <v>2540.9299999999998</v>
      </c>
      <c r="D19" s="204">
        <f t="shared" si="0"/>
        <v>-9.9998228991410643E-2</v>
      </c>
      <c r="E19" s="167"/>
      <c r="F19" s="167">
        <v>8993.26</v>
      </c>
      <c r="G19" s="167" t="e">
        <f t="shared" si="1"/>
        <v>#DIV/0!</v>
      </c>
      <c r="H19" s="205"/>
      <c r="I19" s="196">
        <f t="shared" si="2"/>
        <v>846.97666666666657</v>
      </c>
    </row>
    <row r="20" spans="1:9" ht="15" customHeight="1" x14ac:dyDescent="0.25">
      <c r="A20" s="203" t="s">
        <v>292</v>
      </c>
      <c r="B20" s="167">
        <v>1760.77</v>
      </c>
      <c r="C20" s="167">
        <v>1584.68</v>
      </c>
      <c r="D20" s="204">
        <f t="shared" si="0"/>
        <v>-0.10000738313351543</v>
      </c>
      <c r="E20" s="167"/>
      <c r="F20" s="167">
        <v>5646.37</v>
      </c>
      <c r="G20" s="167" t="e">
        <f t="shared" si="1"/>
        <v>#DIV/0!</v>
      </c>
      <c r="H20" s="205"/>
      <c r="I20" s="196">
        <f t="shared" si="2"/>
        <v>528.22666666666669</v>
      </c>
    </row>
    <row r="21" spans="1:9" ht="15" customHeight="1" x14ac:dyDescent="0.25">
      <c r="A21" s="161" t="s">
        <v>247</v>
      </c>
      <c r="B21" s="159"/>
      <c r="C21" s="159"/>
      <c r="D21" s="186"/>
      <c r="E21" s="159"/>
      <c r="F21" s="159">
        <v>150</v>
      </c>
      <c r="G21" s="159"/>
      <c r="H21" s="187"/>
      <c r="I21" s="135">
        <f t="shared" ref="I21:I64" si="3">+F21/12</f>
        <v>12.5</v>
      </c>
    </row>
    <row r="22" spans="1:9" ht="15" customHeight="1" x14ac:dyDescent="0.25">
      <c r="A22" s="203" t="s">
        <v>410</v>
      </c>
      <c r="B22" s="167"/>
      <c r="C22" s="167"/>
      <c r="D22" s="204"/>
      <c r="E22" s="167">
        <v>190</v>
      </c>
      <c r="F22" s="167">
        <v>250</v>
      </c>
      <c r="G22" s="167">
        <f t="shared" ref="G22:G53" si="4">+(F22/E22)-1</f>
        <v>0.31578947368421062</v>
      </c>
      <c r="H22" s="205"/>
      <c r="I22" s="196">
        <f t="shared" si="3"/>
        <v>20.833333333333332</v>
      </c>
    </row>
    <row r="23" spans="1:9" ht="15" customHeight="1" x14ac:dyDescent="0.25">
      <c r="A23" s="161" t="s">
        <v>7</v>
      </c>
      <c r="B23" s="159"/>
      <c r="C23" s="159"/>
      <c r="D23" s="186"/>
      <c r="E23" s="159">
        <v>190</v>
      </c>
      <c r="F23" s="159">
        <v>150</v>
      </c>
      <c r="G23" s="159">
        <f t="shared" si="4"/>
        <v>-0.21052631578947367</v>
      </c>
      <c r="H23" s="187"/>
      <c r="I23" s="143">
        <f t="shared" si="3"/>
        <v>12.5</v>
      </c>
    </row>
    <row r="24" spans="1:9" ht="15" customHeight="1" x14ac:dyDescent="0.25">
      <c r="A24" s="203" t="s">
        <v>434</v>
      </c>
      <c r="B24" s="167"/>
      <c r="C24" s="167"/>
      <c r="D24" s="204"/>
      <c r="E24" s="167">
        <v>190</v>
      </c>
      <c r="F24" s="167">
        <v>250</v>
      </c>
      <c r="G24" s="167">
        <f t="shared" si="4"/>
        <v>0.31578947368421062</v>
      </c>
      <c r="H24" s="205"/>
      <c r="I24" s="196">
        <f t="shared" si="3"/>
        <v>20.833333333333332</v>
      </c>
    </row>
    <row r="25" spans="1:9" ht="15" customHeight="1" x14ac:dyDescent="0.25">
      <c r="A25" s="203" t="s">
        <v>445</v>
      </c>
      <c r="B25" s="167"/>
      <c r="C25" s="167"/>
      <c r="D25" s="204"/>
      <c r="E25" s="167">
        <v>190</v>
      </c>
      <c r="F25" s="167">
        <v>250</v>
      </c>
      <c r="G25" s="167">
        <f t="shared" si="4"/>
        <v>0.31578947368421062</v>
      </c>
      <c r="H25" s="205"/>
      <c r="I25" s="196">
        <f t="shared" si="3"/>
        <v>20.833333333333332</v>
      </c>
    </row>
    <row r="26" spans="1:9" ht="15" customHeight="1" x14ac:dyDescent="0.25">
      <c r="A26" s="155" t="s">
        <v>174</v>
      </c>
      <c r="B26" s="156"/>
      <c r="C26" s="156"/>
      <c r="D26" s="184"/>
      <c r="E26" s="156">
        <v>190</v>
      </c>
      <c r="F26" s="156">
        <v>250</v>
      </c>
      <c r="G26" s="156">
        <f t="shared" si="4"/>
        <v>0.31578947368421062</v>
      </c>
      <c r="H26" s="185"/>
      <c r="I26" s="134">
        <f t="shared" si="3"/>
        <v>20.833333333333332</v>
      </c>
    </row>
    <row r="27" spans="1:9" ht="15" customHeight="1" x14ac:dyDescent="0.25">
      <c r="A27" s="158" t="s">
        <v>279</v>
      </c>
      <c r="B27" s="159"/>
      <c r="C27" s="159"/>
      <c r="D27" s="186"/>
      <c r="E27" s="159">
        <v>190</v>
      </c>
      <c r="F27" s="159">
        <v>250</v>
      </c>
      <c r="G27" s="159">
        <f t="shared" si="4"/>
        <v>0.31578947368421062</v>
      </c>
      <c r="H27" s="187"/>
      <c r="I27" s="143">
        <f t="shared" si="3"/>
        <v>20.833333333333332</v>
      </c>
    </row>
    <row r="28" spans="1:9" ht="15" customHeight="1" x14ac:dyDescent="0.25">
      <c r="A28" s="166" t="s">
        <v>305</v>
      </c>
      <c r="B28" s="167"/>
      <c r="C28" s="167"/>
      <c r="D28" s="204"/>
      <c r="E28" s="167">
        <v>190</v>
      </c>
      <c r="F28" s="167">
        <v>250</v>
      </c>
      <c r="G28" s="167">
        <f t="shared" si="4"/>
        <v>0.31578947368421062</v>
      </c>
      <c r="H28" s="205"/>
      <c r="I28" s="196">
        <f t="shared" si="3"/>
        <v>20.833333333333332</v>
      </c>
    </row>
    <row r="29" spans="1:9" ht="15" customHeight="1" x14ac:dyDescent="0.25">
      <c r="A29" s="166" t="s">
        <v>482</v>
      </c>
      <c r="B29" s="167"/>
      <c r="C29" s="167"/>
      <c r="D29" s="204"/>
      <c r="E29" s="167">
        <v>190</v>
      </c>
      <c r="F29" s="167">
        <v>250</v>
      </c>
      <c r="G29" s="167">
        <f t="shared" si="4"/>
        <v>0.31578947368421062</v>
      </c>
      <c r="H29" s="205"/>
      <c r="I29" s="196">
        <f t="shared" si="3"/>
        <v>20.833333333333332</v>
      </c>
    </row>
    <row r="30" spans="1:9" ht="15" customHeight="1" x14ac:dyDescent="0.25">
      <c r="A30" s="166" t="s">
        <v>243</v>
      </c>
      <c r="B30" s="167"/>
      <c r="C30" s="167"/>
      <c r="D30" s="204"/>
      <c r="E30" s="167">
        <v>190</v>
      </c>
      <c r="F30" s="167">
        <v>250</v>
      </c>
      <c r="G30" s="167">
        <f t="shared" si="4"/>
        <v>0.31578947368421062</v>
      </c>
      <c r="H30" s="205"/>
      <c r="I30" s="196">
        <f t="shared" si="3"/>
        <v>20.833333333333332</v>
      </c>
    </row>
    <row r="31" spans="1:9" ht="15" customHeight="1" x14ac:dyDescent="0.25">
      <c r="A31" s="158" t="s">
        <v>270</v>
      </c>
      <c r="B31" s="159"/>
      <c r="C31" s="159"/>
      <c r="D31" s="186"/>
      <c r="E31" s="159">
        <v>190</v>
      </c>
      <c r="F31" s="159">
        <v>250</v>
      </c>
      <c r="G31" s="159">
        <f t="shared" si="4"/>
        <v>0.31578947368421062</v>
      </c>
      <c r="H31" s="187"/>
      <c r="I31" s="135">
        <f t="shared" si="3"/>
        <v>20.833333333333332</v>
      </c>
    </row>
    <row r="32" spans="1:9" ht="15" customHeight="1" x14ac:dyDescent="0.25">
      <c r="A32" s="203" t="s">
        <v>189</v>
      </c>
      <c r="B32" s="167"/>
      <c r="C32" s="167"/>
      <c r="D32" s="204"/>
      <c r="E32" s="167">
        <v>190</v>
      </c>
      <c r="F32" s="167">
        <v>250</v>
      </c>
      <c r="G32" s="167">
        <f t="shared" si="4"/>
        <v>0.31578947368421062</v>
      </c>
      <c r="H32" s="205"/>
      <c r="I32" s="196">
        <f t="shared" si="3"/>
        <v>20.833333333333332</v>
      </c>
    </row>
    <row r="33" spans="1:9" ht="15" customHeight="1" x14ac:dyDescent="0.25">
      <c r="A33" s="161" t="s">
        <v>85</v>
      </c>
      <c r="B33" s="159"/>
      <c r="C33" s="159"/>
      <c r="D33" s="186"/>
      <c r="E33" s="159">
        <v>190</v>
      </c>
      <c r="F33" s="159">
        <v>250</v>
      </c>
      <c r="G33" s="159">
        <f t="shared" si="4"/>
        <v>0.31578947368421062</v>
      </c>
      <c r="H33" s="187"/>
      <c r="I33" s="143">
        <f t="shared" si="3"/>
        <v>20.833333333333332</v>
      </c>
    </row>
    <row r="34" spans="1:9" ht="15" customHeight="1" x14ac:dyDescent="0.25">
      <c r="A34" s="161" t="s">
        <v>80</v>
      </c>
      <c r="B34" s="159"/>
      <c r="C34" s="159"/>
      <c r="D34" s="186"/>
      <c r="E34" s="159">
        <v>190</v>
      </c>
      <c r="F34" s="159">
        <v>250</v>
      </c>
      <c r="G34" s="159">
        <f t="shared" si="4"/>
        <v>0.31578947368421062</v>
      </c>
      <c r="H34" s="187"/>
      <c r="I34" s="143">
        <f t="shared" si="3"/>
        <v>20.833333333333332</v>
      </c>
    </row>
    <row r="35" spans="1:9" ht="15" customHeight="1" x14ac:dyDescent="0.25">
      <c r="A35" s="161" t="s">
        <v>286</v>
      </c>
      <c r="B35" s="159"/>
      <c r="C35" s="159"/>
      <c r="D35" s="186"/>
      <c r="E35" s="159">
        <v>190</v>
      </c>
      <c r="F35" s="159">
        <v>250</v>
      </c>
      <c r="G35" s="159">
        <f t="shared" si="4"/>
        <v>0.31578947368421062</v>
      </c>
      <c r="H35" s="187"/>
      <c r="I35" s="135">
        <f t="shared" si="3"/>
        <v>20.833333333333332</v>
      </c>
    </row>
    <row r="36" spans="1:9" ht="15" customHeight="1" x14ac:dyDescent="0.25">
      <c r="A36" s="203" t="s">
        <v>179</v>
      </c>
      <c r="B36" s="167"/>
      <c r="C36" s="167"/>
      <c r="D36" s="204"/>
      <c r="E36" s="167">
        <v>190</v>
      </c>
      <c r="F36" s="167">
        <v>250</v>
      </c>
      <c r="G36" s="167">
        <f t="shared" si="4"/>
        <v>0.31578947368421062</v>
      </c>
      <c r="H36" s="205"/>
      <c r="I36" s="196">
        <f t="shared" si="3"/>
        <v>20.833333333333332</v>
      </c>
    </row>
    <row r="37" spans="1:9" ht="15" customHeight="1" x14ac:dyDescent="0.25">
      <c r="A37" s="161" t="s">
        <v>309</v>
      </c>
      <c r="B37" s="159"/>
      <c r="C37" s="159"/>
      <c r="D37" s="186"/>
      <c r="E37" s="159">
        <v>190</v>
      </c>
      <c r="F37" s="159">
        <v>250</v>
      </c>
      <c r="G37" s="159">
        <f t="shared" si="4"/>
        <v>0.31578947368421062</v>
      </c>
      <c r="H37" s="187"/>
      <c r="I37" s="143">
        <f t="shared" si="3"/>
        <v>20.833333333333332</v>
      </c>
    </row>
    <row r="38" spans="1:9" ht="15" customHeight="1" x14ac:dyDescent="0.25">
      <c r="A38" s="161" t="s">
        <v>73</v>
      </c>
      <c r="B38" s="159"/>
      <c r="C38" s="159"/>
      <c r="D38" s="186"/>
      <c r="E38" s="159">
        <v>190</v>
      </c>
      <c r="F38" s="159">
        <v>250</v>
      </c>
      <c r="G38" s="159">
        <f t="shared" si="4"/>
        <v>0.31578947368421062</v>
      </c>
      <c r="H38" s="187"/>
      <c r="I38" s="143">
        <f t="shared" si="3"/>
        <v>20.833333333333332</v>
      </c>
    </row>
    <row r="39" spans="1:9" ht="15" customHeight="1" x14ac:dyDescent="0.25">
      <c r="A39" s="161" t="s">
        <v>249</v>
      </c>
      <c r="B39" s="159"/>
      <c r="C39" s="159"/>
      <c r="D39" s="186"/>
      <c r="E39" s="159">
        <v>190</v>
      </c>
      <c r="F39" s="159">
        <v>250</v>
      </c>
      <c r="G39" s="159">
        <f t="shared" si="4"/>
        <v>0.31578947368421062</v>
      </c>
      <c r="H39" s="187"/>
      <c r="I39" s="135">
        <f t="shared" si="3"/>
        <v>20.833333333333332</v>
      </c>
    </row>
    <row r="40" spans="1:9" ht="15" customHeight="1" x14ac:dyDescent="0.25">
      <c r="A40" s="183" t="s">
        <v>199</v>
      </c>
      <c r="B40" s="156"/>
      <c r="C40" s="156"/>
      <c r="D40" s="184"/>
      <c r="E40" s="156">
        <v>190</v>
      </c>
      <c r="F40" s="156">
        <v>250</v>
      </c>
      <c r="G40" s="156">
        <f t="shared" si="4"/>
        <v>0.31578947368421062</v>
      </c>
      <c r="H40" s="185"/>
      <c r="I40" s="134">
        <f t="shared" si="3"/>
        <v>20.833333333333332</v>
      </c>
    </row>
    <row r="41" spans="1:9" ht="15" customHeight="1" x14ac:dyDescent="0.25">
      <c r="A41" s="183" t="s">
        <v>207</v>
      </c>
      <c r="B41" s="156"/>
      <c r="C41" s="156"/>
      <c r="D41" s="184"/>
      <c r="E41" s="156">
        <v>190</v>
      </c>
      <c r="F41" s="156">
        <v>250</v>
      </c>
      <c r="G41" s="156">
        <f t="shared" si="4"/>
        <v>0.31578947368421062</v>
      </c>
      <c r="H41" s="185"/>
      <c r="I41" s="134">
        <f t="shared" si="3"/>
        <v>20.833333333333332</v>
      </c>
    </row>
    <row r="42" spans="1:9" ht="15" customHeight="1" x14ac:dyDescent="0.25">
      <c r="A42" s="161" t="s">
        <v>200</v>
      </c>
      <c r="B42" s="159"/>
      <c r="C42" s="159"/>
      <c r="D42" s="186"/>
      <c r="E42" s="159">
        <v>190</v>
      </c>
      <c r="F42" s="159">
        <v>250</v>
      </c>
      <c r="G42" s="159">
        <f t="shared" si="4"/>
        <v>0.31578947368421062</v>
      </c>
      <c r="H42" s="187"/>
      <c r="I42" s="135">
        <f t="shared" si="3"/>
        <v>20.833333333333332</v>
      </c>
    </row>
    <row r="43" spans="1:9" ht="15" customHeight="1" x14ac:dyDescent="0.25">
      <c r="A43" s="161" t="s">
        <v>289</v>
      </c>
      <c r="B43" s="159"/>
      <c r="C43" s="159"/>
      <c r="D43" s="186"/>
      <c r="E43" s="159">
        <v>190</v>
      </c>
      <c r="F43" s="159">
        <v>250</v>
      </c>
      <c r="G43" s="159">
        <f t="shared" si="4"/>
        <v>0.31578947368421062</v>
      </c>
      <c r="H43" s="187"/>
      <c r="I43" s="135">
        <f t="shared" si="3"/>
        <v>20.833333333333332</v>
      </c>
    </row>
    <row r="44" spans="1:9" ht="15" customHeight="1" x14ac:dyDescent="0.25">
      <c r="A44" s="161" t="s">
        <v>265</v>
      </c>
      <c r="B44" s="159"/>
      <c r="C44" s="159"/>
      <c r="D44" s="186"/>
      <c r="E44" s="159">
        <v>190</v>
      </c>
      <c r="F44" s="159">
        <v>250</v>
      </c>
      <c r="G44" s="159">
        <f t="shared" si="4"/>
        <v>0.31578947368421062</v>
      </c>
      <c r="H44" s="187"/>
      <c r="I44" s="143">
        <f t="shared" si="3"/>
        <v>20.833333333333332</v>
      </c>
    </row>
    <row r="45" spans="1:9" ht="15" customHeight="1" x14ac:dyDescent="0.25">
      <c r="A45" s="161" t="s">
        <v>238</v>
      </c>
      <c r="B45" s="159"/>
      <c r="C45" s="159"/>
      <c r="D45" s="186"/>
      <c r="E45" s="159">
        <v>190</v>
      </c>
      <c r="F45" s="159">
        <v>250</v>
      </c>
      <c r="G45" s="159">
        <f t="shared" si="4"/>
        <v>0.31578947368421062</v>
      </c>
      <c r="H45" s="187"/>
      <c r="I45" s="143">
        <f t="shared" si="3"/>
        <v>20.833333333333332</v>
      </c>
    </row>
    <row r="46" spans="1:9" ht="15" customHeight="1" x14ac:dyDescent="0.25">
      <c r="A46" s="161" t="s">
        <v>106</v>
      </c>
      <c r="B46" s="159"/>
      <c r="C46" s="159"/>
      <c r="D46" s="186"/>
      <c r="E46" s="159">
        <v>190</v>
      </c>
      <c r="F46" s="159">
        <v>250</v>
      </c>
      <c r="G46" s="159">
        <f t="shared" si="4"/>
        <v>0.31578947368421062</v>
      </c>
      <c r="H46" s="187"/>
      <c r="I46" s="135">
        <f t="shared" si="3"/>
        <v>20.833333333333332</v>
      </c>
    </row>
    <row r="47" spans="1:9" ht="15" customHeight="1" x14ac:dyDescent="0.25">
      <c r="A47" s="161" t="s">
        <v>183</v>
      </c>
      <c r="B47" s="159"/>
      <c r="C47" s="159"/>
      <c r="D47" s="186"/>
      <c r="E47" s="159">
        <v>190</v>
      </c>
      <c r="F47" s="159">
        <v>250</v>
      </c>
      <c r="G47" s="159">
        <f t="shared" si="4"/>
        <v>0.31578947368421062</v>
      </c>
      <c r="H47" s="187"/>
      <c r="I47" s="143">
        <f t="shared" si="3"/>
        <v>20.833333333333332</v>
      </c>
    </row>
    <row r="48" spans="1:9" ht="15" customHeight="1" x14ac:dyDescent="0.25">
      <c r="A48" s="203" t="s">
        <v>471</v>
      </c>
      <c r="B48" s="167"/>
      <c r="C48" s="167"/>
      <c r="D48" s="204"/>
      <c r="E48" s="167">
        <v>190</v>
      </c>
      <c r="F48" s="167">
        <v>250</v>
      </c>
      <c r="G48" s="167">
        <f t="shared" si="4"/>
        <v>0.31578947368421062</v>
      </c>
      <c r="H48" s="205"/>
      <c r="I48" s="196">
        <f t="shared" si="3"/>
        <v>20.833333333333332</v>
      </c>
    </row>
    <row r="49" spans="1:9" ht="15" customHeight="1" x14ac:dyDescent="0.25">
      <c r="A49" s="161" t="s">
        <v>49</v>
      </c>
      <c r="B49" s="159"/>
      <c r="C49" s="159"/>
      <c r="D49" s="186"/>
      <c r="E49" s="159">
        <v>190</v>
      </c>
      <c r="F49" s="159">
        <v>250</v>
      </c>
      <c r="G49" s="159">
        <f t="shared" si="4"/>
        <v>0.31578947368421062</v>
      </c>
      <c r="H49" s="187"/>
      <c r="I49" s="143">
        <f t="shared" si="3"/>
        <v>20.833333333333332</v>
      </c>
    </row>
    <row r="50" spans="1:9" ht="15" customHeight="1" x14ac:dyDescent="0.25">
      <c r="A50" s="161" t="s">
        <v>253</v>
      </c>
      <c r="B50" s="159"/>
      <c r="C50" s="159"/>
      <c r="D50" s="186"/>
      <c r="E50" s="159">
        <v>190</v>
      </c>
      <c r="F50" s="159">
        <v>250</v>
      </c>
      <c r="G50" s="159">
        <f t="shared" si="4"/>
        <v>0.31578947368421062</v>
      </c>
      <c r="H50" s="187"/>
      <c r="I50" s="143">
        <f t="shared" si="3"/>
        <v>20.833333333333332</v>
      </c>
    </row>
    <row r="51" spans="1:9" ht="15" customHeight="1" x14ac:dyDescent="0.25">
      <c r="A51" s="183" t="s">
        <v>228</v>
      </c>
      <c r="B51" s="156"/>
      <c r="C51" s="156"/>
      <c r="D51" s="184"/>
      <c r="E51" s="156">
        <v>190</v>
      </c>
      <c r="F51" s="156">
        <v>250</v>
      </c>
      <c r="G51" s="156">
        <f t="shared" si="4"/>
        <v>0.31578947368421062</v>
      </c>
      <c r="H51" s="185"/>
      <c r="I51" s="134">
        <f t="shared" si="3"/>
        <v>20.833333333333332</v>
      </c>
    </row>
    <row r="52" spans="1:9" ht="15" customHeight="1" x14ac:dyDescent="0.25">
      <c r="A52" s="161" t="s">
        <v>317</v>
      </c>
      <c r="B52" s="159"/>
      <c r="C52" s="159"/>
      <c r="D52" s="186"/>
      <c r="E52" s="159">
        <v>190</v>
      </c>
      <c r="F52" s="159">
        <v>250</v>
      </c>
      <c r="G52" s="159">
        <f t="shared" si="4"/>
        <v>0.31578947368421062</v>
      </c>
      <c r="H52" s="187"/>
      <c r="I52" s="135">
        <f t="shared" si="3"/>
        <v>20.833333333333332</v>
      </c>
    </row>
    <row r="53" spans="1:9" ht="15" customHeight="1" x14ac:dyDescent="0.25">
      <c r="A53" s="161" t="s">
        <v>225</v>
      </c>
      <c r="B53" s="159"/>
      <c r="C53" s="159"/>
      <c r="D53" s="186"/>
      <c r="E53" s="159">
        <v>190</v>
      </c>
      <c r="F53" s="159">
        <v>250</v>
      </c>
      <c r="G53" s="159">
        <f t="shared" si="4"/>
        <v>0.31578947368421062</v>
      </c>
      <c r="H53" s="187"/>
      <c r="I53" s="143">
        <f t="shared" si="3"/>
        <v>20.833333333333332</v>
      </c>
    </row>
    <row r="54" spans="1:9" ht="15" customHeight="1" x14ac:dyDescent="0.25">
      <c r="A54" s="200" t="s">
        <v>402</v>
      </c>
      <c r="B54" s="170"/>
      <c r="C54" s="170"/>
      <c r="D54" s="201"/>
      <c r="E54" s="170">
        <v>190</v>
      </c>
      <c r="F54" s="170">
        <v>250</v>
      </c>
      <c r="G54" s="170">
        <f t="shared" ref="G54:G84" si="5">+(F54/E54)-1</f>
        <v>0.31578947368421062</v>
      </c>
      <c r="H54" s="202"/>
      <c r="I54" s="199">
        <f t="shared" si="3"/>
        <v>20.833333333333332</v>
      </c>
    </row>
    <row r="55" spans="1:9" ht="15" customHeight="1" x14ac:dyDescent="0.25">
      <c r="A55" s="183" t="s">
        <v>231</v>
      </c>
      <c r="B55" s="156"/>
      <c r="C55" s="156"/>
      <c r="D55" s="184"/>
      <c r="E55" s="156">
        <v>190</v>
      </c>
      <c r="F55" s="156">
        <v>250</v>
      </c>
      <c r="G55" s="156">
        <f t="shared" si="5"/>
        <v>0.31578947368421062</v>
      </c>
      <c r="H55" s="185"/>
      <c r="I55" s="134">
        <f t="shared" si="3"/>
        <v>20.833333333333332</v>
      </c>
    </row>
    <row r="56" spans="1:9" ht="15" customHeight="1" x14ac:dyDescent="0.25">
      <c r="A56" s="161" t="s">
        <v>151</v>
      </c>
      <c r="B56" s="159"/>
      <c r="C56" s="159"/>
      <c r="D56" s="186"/>
      <c r="E56" s="159">
        <v>190</v>
      </c>
      <c r="F56" s="159">
        <v>250</v>
      </c>
      <c r="G56" s="159">
        <f t="shared" si="5"/>
        <v>0.31578947368421062</v>
      </c>
      <c r="H56" s="187"/>
      <c r="I56" s="135">
        <f t="shared" si="3"/>
        <v>20.833333333333332</v>
      </c>
    </row>
    <row r="57" spans="1:9" ht="15" customHeight="1" x14ac:dyDescent="0.25">
      <c r="A57" s="183" t="s">
        <v>245</v>
      </c>
      <c r="B57" s="156"/>
      <c r="C57" s="156"/>
      <c r="D57" s="184"/>
      <c r="E57" s="156">
        <v>190</v>
      </c>
      <c r="F57" s="156">
        <v>250</v>
      </c>
      <c r="G57" s="156">
        <f t="shared" si="5"/>
        <v>0.31578947368421062</v>
      </c>
      <c r="H57" s="185"/>
      <c r="I57" s="134">
        <f t="shared" si="3"/>
        <v>20.833333333333332</v>
      </c>
    </row>
    <row r="58" spans="1:9" ht="15" customHeight="1" x14ac:dyDescent="0.25">
      <c r="A58" s="203" t="s">
        <v>463</v>
      </c>
      <c r="B58" s="167"/>
      <c r="C58" s="167"/>
      <c r="D58" s="204"/>
      <c r="E58" s="167">
        <v>190</v>
      </c>
      <c r="F58" s="167">
        <v>250</v>
      </c>
      <c r="G58" s="167">
        <f t="shared" si="5"/>
        <v>0.31578947368421062</v>
      </c>
      <c r="H58" s="205"/>
      <c r="I58" s="196">
        <f t="shared" si="3"/>
        <v>20.833333333333332</v>
      </c>
    </row>
    <row r="59" spans="1:9" ht="15" customHeight="1" x14ac:dyDescent="0.25">
      <c r="A59" s="161" t="s">
        <v>33</v>
      </c>
      <c r="B59" s="159"/>
      <c r="C59" s="159"/>
      <c r="D59" s="186"/>
      <c r="E59" s="159">
        <v>190</v>
      </c>
      <c r="F59" s="159">
        <v>250</v>
      </c>
      <c r="G59" s="159">
        <f t="shared" si="5"/>
        <v>0.31578947368421062</v>
      </c>
      <c r="H59" s="187"/>
      <c r="I59" s="143">
        <f t="shared" si="3"/>
        <v>20.833333333333332</v>
      </c>
    </row>
    <row r="60" spans="1:9" ht="15" customHeight="1" x14ac:dyDescent="0.25">
      <c r="A60" s="161" t="s">
        <v>66</v>
      </c>
      <c r="B60" s="159"/>
      <c r="C60" s="159"/>
      <c r="D60" s="186"/>
      <c r="E60" s="159">
        <v>190</v>
      </c>
      <c r="F60" s="159">
        <v>250</v>
      </c>
      <c r="G60" s="159">
        <f t="shared" si="5"/>
        <v>0.31578947368421062</v>
      </c>
      <c r="H60" s="187"/>
      <c r="I60" s="143">
        <f t="shared" si="3"/>
        <v>20.833333333333332</v>
      </c>
    </row>
    <row r="61" spans="1:9" ht="15" customHeight="1" x14ac:dyDescent="0.25">
      <c r="A61" s="161" t="s">
        <v>274</v>
      </c>
      <c r="B61" s="159"/>
      <c r="C61" s="159"/>
      <c r="D61" s="186"/>
      <c r="E61" s="159">
        <v>190</v>
      </c>
      <c r="F61" s="159">
        <v>250</v>
      </c>
      <c r="G61" s="159">
        <f t="shared" si="5"/>
        <v>0.31578947368421062</v>
      </c>
      <c r="H61" s="187"/>
      <c r="I61" s="143">
        <f t="shared" si="3"/>
        <v>20.833333333333332</v>
      </c>
    </row>
    <row r="62" spans="1:9" ht="15" customHeight="1" x14ac:dyDescent="0.25">
      <c r="A62" s="161" t="s">
        <v>187</v>
      </c>
      <c r="B62" s="159"/>
      <c r="C62" s="159"/>
      <c r="D62" s="186"/>
      <c r="E62" s="159">
        <v>190</v>
      </c>
      <c r="F62" s="159">
        <v>250</v>
      </c>
      <c r="G62" s="159">
        <f t="shared" si="5"/>
        <v>0.31578947368421062</v>
      </c>
      <c r="H62" s="187"/>
      <c r="I62" s="143">
        <f t="shared" si="3"/>
        <v>20.833333333333332</v>
      </c>
    </row>
    <row r="63" spans="1:9" ht="15" customHeight="1" x14ac:dyDescent="0.25">
      <c r="A63" s="203" t="s">
        <v>423</v>
      </c>
      <c r="B63" s="167"/>
      <c r="C63" s="167"/>
      <c r="D63" s="204"/>
      <c r="E63" s="167">
        <v>190</v>
      </c>
      <c r="F63" s="167">
        <v>250</v>
      </c>
      <c r="G63" s="167">
        <f t="shared" si="5"/>
        <v>0.31578947368421062</v>
      </c>
      <c r="H63" s="205"/>
      <c r="I63" s="196">
        <f t="shared" si="3"/>
        <v>20.833333333333332</v>
      </c>
    </row>
    <row r="64" spans="1:9" ht="15" customHeight="1" x14ac:dyDescent="0.25">
      <c r="A64" s="183" t="s">
        <v>269</v>
      </c>
      <c r="B64" s="156"/>
      <c r="C64" s="156"/>
      <c r="D64" s="184"/>
      <c r="E64" s="156">
        <v>190</v>
      </c>
      <c r="F64" s="156">
        <v>250</v>
      </c>
      <c r="G64" s="156">
        <f t="shared" si="5"/>
        <v>0.31578947368421062</v>
      </c>
      <c r="H64" s="185"/>
      <c r="I64" s="134">
        <f t="shared" si="3"/>
        <v>20.833333333333332</v>
      </c>
    </row>
    <row r="65" spans="1:9" ht="15" customHeight="1" x14ac:dyDescent="0.25">
      <c r="A65" s="183" t="s">
        <v>282</v>
      </c>
      <c r="B65" s="156">
        <v>3852</v>
      </c>
      <c r="C65" s="156">
        <v>8638.11</v>
      </c>
      <c r="D65" s="184">
        <f t="shared" ref="D65:D84" si="6">+(C65/B65)-1</f>
        <v>1.2425000000000002</v>
      </c>
      <c r="E65" s="156">
        <v>13507</v>
      </c>
      <c r="F65" s="156">
        <v>30333.38</v>
      </c>
      <c r="G65" s="156">
        <f t="shared" si="5"/>
        <v>1.2457525727400607</v>
      </c>
      <c r="H65" s="185"/>
      <c r="I65" s="134">
        <f t="shared" ref="I65:I84" si="7">+C65*4/12</f>
        <v>2879.3700000000003</v>
      </c>
    </row>
    <row r="66" spans="1:9" ht="15" customHeight="1" x14ac:dyDescent="0.25">
      <c r="A66" s="203" t="s">
        <v>450</v>
      </c>
      <c r="B66" s="167">
        <v>397.97</v>
      </c>
      <c r="C66" s="167">
        <v>1186.93</v>
      </c>
      <c r="D66" s="204">
        <f t="shared" si="6"/>
        <v>1.9824609895218233</v>
      </c>
      <c r="E66" s="167">
        <v>1417.88</v>
      </c>
      <c r="F66" s="167">
        <v>4254.24</v>
      </c>
      <c r="G66" s="167">
        <f t="shared" si="5"/>
        <v>2.0004231669816908</v>
      </c>
      <c r="H66" s="205"/>
      <c r="I66" s="196">
        <f t="shared" si="7"/>
        <v>395.64333333333337</v>
      </c>
    </row>
    <row r="67" spans="1:9" ht="15" customHeight="1" x14ac:dyDescent="0.25">
      <c r="A67" s="203" t="s">
        <v>452</v>
      </c>
      <c r="B67" s="167">
        <v>397.97</v>
      </c>
      <c r="C67" s="167">
        <v>1186.93</v>
      </c>
      <c r="D67" s="204">
        <f t="shared" si="6"/>
        <v>1.9824609895218233</v>
      </c>
      <c r="E67" s="167">
        <v>1417.88</v>
      </c>
      <c r="F67" s="167">
        <v>4254.24</v>
      </c>
      <c r="G67" s="167">
        <f t="shared" si="5"/>
        <v>2.0004231669816908</v>
      </c>
      <c r="H67" s="205"/>
      <c r="I67" s="196">
        <f t="shared" si="7"/>
        <v>395.64333333333337</v>
      </c>
    </row>
    <row r="68" spans="1:9" ht="15" customHeight="1" x14ac:dyDescent="0.25">
      <c r="A68" s="183" t="s">
        <v>285</v>
      </c>
      <c r="B68" s="156">
        <v>5834.5</v>
      </c>
      <c r="C68" s="156">
        <v>7682.17</v>
      </c>
      <c r="D68" s="184">
        <f t="shared" si="6"/>
        <v>0.31668009255291807</v>
      </c>
      <c r="E68" s="156">
        <v>20445.740000000002</v>
      </c>
      <c r="F68" s="156">
        <v>26987.61</v>
      </c>
      <c r="G68" s="156">
        <f t="shared" si="5"/>
        <v>0.31996249585488212</v>
      </c>
      <c r="H68" s="185"/>
      <c r="I68" s="134">
        <f t="shared" si="7"/>
        <v>2560.7233333333334</v>
      </c>
    </row>
    <row r="69" spans="1:9" ht="15" customHeight="1" x14ac:dyDescent="0.25">
      <c r="A69" s="161" t="s">
        <v>283</v>
      </c>
      <c r="B69" s="159">
        <v>585.27</v>
      </c>
      <c r="C69" s="159">
        <v>2823.27</v>
      </c>
      <c r="D69" s="186">
        <f t="shared" si="6"/>
        <v>3.8238761597211548</v>
      </c>
      <c r="E69" s="159">
        <v>2073.41</v>
      </c>
      <c r="F69" s="159">
        <v>9981.43</v>
      </c>
      <c r="G69" s="159">
        <f t="shared" si="5"/>
        <v>3.8140165235047583</v>
      </c>
      <c r="H69" s="187"/>
      <c r="I69" s="135">
        <f t="shared" si="7"/>
        <v>941.09</v>
      </c>
    </row>
    <row r="70" spans="1:9" ht="15" customHeight="1" x14ac:dyDescent="0.25">
      <c r="A70" s="161" t="s">
        <v>258</v>
      </c>
      <c r="B70" s="159">
        <v>775.16</v>
      </c>
      <c r="C70" s="159">
        <v>2823.47</v>
      </c>
      <c r="D70" s="186">
        <f t="shared" si="6"/>
        <v>2.6424351101708035</v>
      </c>
      <c r="E70" s="159">
        <v>2738.02</v>
      </c>
      <c r="F70" s="159">
        <v>9981.43</v>
      </c>
      <c r="G70" s="159">
        <f t="shared" si="5"/>
        <v>2.6454919978670719</v>
      </c>
      <c r="H70" s="187"/>
      <c r="I70" s="143">
        <f t="shared" si="7"/>
        <v>941.15666666666664</v>
      </c>
    </row>
    <row r="71" spans="1:9" ht="15" customHeight="1" x14ac:dyDescent="0.25">
      <c r="A71" s="161" t="s">
        <v>155</v>
      </c>
      <c r="B71" s="159">
        <v>775.16</v>
      </c>
      <c r="C71" s="159">
        <v>2823.47</v>
      </c>
      <c r="D71" s="186">
        <f t="shared" si="6"/>
        <v>2.6424351101708035</v>
      </c>
      <c r="E71" s="159">
        <v>2738.02</v>
      </c>
      <c r="F71" s="159">
        <v>9981.43</v>
      </c>
      <c r="G71" s="159">
        <f t="shared" si="5"/>
        <v>2.6454919978670719</v>
      </c>
      <c r="H71" s="187"/>
      <c r="I71" s="143">
        <f t="shared" si="7"/>
        <v>941.15666666666664</v>
      </c>
    </row>
    <row r="72" spans="1:9" ht="15" customHeight="1" x14ac:dyDescent="0.25">
      <c r="A72" s="183" t="s">
        <v>288</v>
      </c>
      <c r="B72" s="156">
        <v>6052.35</v>
      </c>
      <c r="C72" s="156">
        <v>7968.72</v>
      </c>
      <c r="D72" s="184">
        <f t="shared" si="6"/>
        <v>0.31663238246301018</v>
      </c>
      <c r="E72" s="156">
        <v>21208.22</v>
      </c>
      <c r="F72" s="156">
        <v>27990.5</v>
      </c>
      <c r="G72" s="156">
        <f t="shared" si="5"/>
        <v>0.31979487198831391</v>
      </c>
      <c r="H72" s="185"/>
      <c r="I72" s="134">
        <f t="shared" si="7"/>
        <v>2656.2400000000002</v>
      </c>
    </row>
    <row r="73" spans="1:9" ht="15" customHeight="1" x14ac:dyDescent="0.25">
      <c r="A73" s="161" t="s">
        <v>232</v>
      </c>
      <c r="B73" s="159">
        <v>585.27</v>
      </c>
      <c r="C73" s="159">
        <v>2823.3270000000002</v>
      </c>
      <c r="D73" s="186">
        <f t="shared" si="6"/>
        <v>3.8239735506689225</v>
      </c>
      <c r="E73" s="159">
        <v>2073.41</v>
      </c>
      <c r="F73" s="159">
        <v>9981.43</v>
      </c>
      <c r="G73" s="159">
        <f t="shared" si="5"/>
        <v>3.8140165235047583</v>
      </c>
      <c r="H73" s="187"/>
      <c r="I73" s="135">
        <f t="shared" si="7"/>
        <v>941.10900000000004</v>
      </c>
    </row>
    <row r="74" spans="1:9" ht="15" customHeight="1" x14ac:dyDescent="0.25">
      <c r="A74" s="200" t="s">
        <v>405</v>
      </c>
      <c r="B74" s="170">
        <v>621</v>
      </c>
      <c r="C74" s="170">
        <v>1004.16</v>
      </c>
      <c r="D74" s="201">
        <f t="shared" si="6"/>
        <v>0.61700483091787439</v>
      </c>
      <c r="E74" s="170">
        <v>2198.5</v>
      </c>
      <c r="F74" s="170">
        <v>3614.56</v>
      </c>
      <c r="G74" s="170">
        <f t="shared" si="5"/>
        <v>0.64410279736183762</v>
      </c>
      <c r="H74" s="202"/>
      <c r="I74" s="199">
        <f t="shared" si="7"/>
        <v>334.71999999999997</v>
      </c>
    </row>
    <row r="75" spans="1:9" ht="15" customHeight="1" x14ac:dyDescent="0.25">
      <c r="A75" s="183" t="s">
        <v>302</v>
      </c>
      <c r="B75" s="156">
        <v>4761.51</v>
      </c>
      <c r="C75" s="156">
        <v>11197.55</v>
      </c>
      <c r="D75" s="184">
        <f t="shared" si="6"/>
        <v>1.3516804543096619</v>
      </c>
      <c r="E75" s="156">
        <v>16690.240000000002</v>
      </c>
      <c r="F75" s="156">
        <v>39291.440000000002</v>
      </c>
      <c r="G75" s="156">
        <f t="shared" si="5"/>
        <v>1.3541566807906897</v>
      </c>
      <c r="H75" s="185"/>
      <c r="I75" s="134">
        <f t="shared" si="7"/>
        <v>3732.5166666666664</v>
      </c>
    </row>
    <row r="76" spans="1:9" ht="15" customHeight="1" x14ac:dyDescent="0.25">
      <c r="A76" s="161" t="s">
        <v>134</v>
      </c>
      <c r="B76" s="159">
        <v>1146.8800000000001</v>
      </c>
      <c r="C76" s="159">
        <v>4967.6899999999996</v>
      </c>
      <c r="D76" s="186">
        <f t="shared" si="6"/>
        <v>3.3314819335937491</v>
      </c>
      <c r="E76" s="159">
        <v>4039.08</v>
      </c>
      <c r="F76" s="159">
        <v>17486.91</v>
      </c>
      <c r="G76" s="159">
        <f t="shared" si="5"/>
        <v>3.3294289788763782</v>
      </c>
      <c r="H76" s="187"/>
      <c r="I76" s="143">
        <f t="shared" si="7"/>
        <v>1655.8966666666665</v>
      </c>
    </row>
    <row r="77" spans="1:9" ht="15" customHeight="1" x14ac:dyDescent="0.25">
      <c r="A77" s="161" t="s">
        <v>204</v>
      </c>
      <c r="B77" s="159">
        <v>1146.8800000000001</v>
      </c>
      <c r="C77" s="159">
        <v>4967.6899999999996</v>
      </c>
      <c r="D77" s="186">
        <f t="shared" si="6"/>
        <v>3.3314819335937491</v>
      </c>
      <c r="E77" s="159">
        <v>4039.08</v>
      </c>
      <c r="F77" s="159">
        <v>17486.91</v>
      </c>
      <c r="G77" s="159">
        <f t="shared" si="5"/>
        <v>3.3294289788763782</v>
      </c>
      <c r="H77" s="187"/>
      <c r="I77" s="135">
        <f t="shared" si="7"/>
        <v>1655.8966666666665</v>
      </c>
    </row>
    <row r="78" spans="1:9" ht="15" customHeight="1" x14ac:dyDescent="0.25">
      <c r="A78" s="183" t="s">
        <v>316</v>
      </c>
      <c r="B78" s="156">
        <v>8820</v>
      </c>
      <c r="C78" s="156">
        <v>8283.94</v>
      </c>
      <c r="D78" s="184">
        <f t="shared" si="6"/>
        <v>-6.0777777777777708E-2</v>
      </c>
      <c r="E78" s="156">
        <v>30895</v>
      </c>
      <c r="F78" s="156">
        <v>29093.8</v>
      </c>
      <c r="G78" s="156">
        <f t="shared" si="5"/>
        <v>-5.8300695905486366E-2</v>
      </c>
      <c r="H78" s="185"/>
      <c r="I78" s="134">
        <f t="shared" si="7"/>
        <v>2761.3133333333335</v>
      </c>
    </row>
    <row r="79" spans="1:9" ht="15" customHeight="1" x14ac:dyDescent="0.25">
      <c r="A79" s="161" t="s">
        <v>300</v>
      </c>
      <c r="B79" s="159">
        <v>1146.8800000000001</v>
      </c>
      <c r="C79" s="159">
        <v>4967.6899999999996</v>
      </c>
      <c r="D79" s="186">
        <f t="shared" si="6"/>
        <v>3.3314819335937491</v>
      </c>
      <c r="E79" s="159">
        <v>4039.08</v>
      </c>
      <c r="F79" s="159">
        <v>17486.91</v>
      </c>
      <c r="G79" s="159">
        <f t="shared" si="5"/>
        <v>3.3294289788763782</v>
      </c>
      <c r="H79" s="187"/>
      <c r="I79" s="143">
        <f t="shared" si="7"/>
        <v>1655.8966666666665</v>
      </c>
    </row>
    <row r="80" spans="1:9" ht="15" customHeight="1" x14ac:dyDescent="0.25">
      <c r="A80" s="183" t="s">
        <v>319</v>
      </c>
      <c r="B80" s="156">
        <v>11025</v>
      </c>
      <c r="C80" s="156">
        <v>8901.69</v>
      </c>
      <c r="D80" s="184">
        <f t="shared" si="6"/>
        <v>-0.19259047619047609</v>
      </c>
      <c r="E80" s="156">
        <v>44125</v>
      </c>
      <c r="F80" s="156">
        <v>29093.8</v>
      </c>
      <c r="G80" s="156">
        <f t="shared" si="5"/>
        <v>-0.34065042492917852</v>
      </c>
      <c r="H80" s="185"/>
      <c r="I80" s="134">
        <f t="shared" si="7"/>
        <v>2967.23</v>
      </c>
    </row>
    <row r="81" spans="1:9" ht="15" customHeight="1" x14ac:dyDescent="0.25">
      <c r="A81" s="161" t="s">
        <v>313</v>
      </c>
      <c r="B81" s="159">
        <v>1005</v>
      </c>
      <c r="C81" s="159">
        <v>3451.12</v>
      </c>
      <c r="D81" s="186">
        <f t="shared" si="6"/>
        <v>2.433950248756219</v>
      </c>
      <c r="E81" s="159">
        <v>3542.49</v>
      </c>
      <c r="F81" s="159">
        <v>12178.91</v>
      </c>
      <c r="G81" s="159">
        <f t="shared" si="5"/>
        <v>2.437951836137858</v>
      </c>
      <c r="H81" s="187"/>
      <c r="I81" s="143">
        <f t="shared" si="7"/>
        <v>1150.3733333333332</v>
      </c>
    </row>
    <row r="82" spans="1:9" ht="15" customHeight="1" x14ac:dyDescent="0.25">
      <c r="A82" s="161" t="s">
        <v>161</v>
      </c>
      <c r="B82" s="159">
        <v>1146.8800000000001</v>
      </c>
      <c r="C82" s="159">
        <v>4967.6899999999996</v>
      </c>
      <c r="D82" s="186">
        <f t="shared" si="6"/>
        <v>3.3314819335937491</v>
      </c>
      <c r="E82" s="159">
        <v>4039.08</v>
      </c>
      <c r="F82" s="159">
        <v>17486.91</v>
      </c>
      <c r="G82" s="159">
        <f t="shared" si="5"/>
        <v>3.3294289788763782</v>
      </c>
      <c r="H82" s="187"/>
      <c r="I82" s="143">
        <f t="shared" si="7"/>
        <v>1655.8966666666665</v>
      </c>
    </row>
    <row r="83" spans="1:9" ht="15" customHeight="1" x14ac:dyDescent="0.25">
      <c r="A83" s="161" t="s">
        <v>55</v>
      </c>
      <c r="B83" s="159">
        <v>1146.8800000000001</v>
      </c>
      <c r="C83" s="159">
        <v>4967.6899999999996</v>
      </c>
      <c r="D83" s="186">
        <f t="shared" si="6"/>
        <v>3.3314819335937491</v>
      </c>
      <c r="E83" s="159">
        <v>4039.08</v>
      </c>
      <c r="F83" s="159">
        <v>17486.91</v>
      </c>
      <c r="G83" s="159">
        <f t="shared" si="5"/>
        <v>3.3294289788763782</v>
      </c>
      <c r="H83" s="187"/>
      <c r="I83" s="143">
        <f t="shared" si="7"/>
        <v>1655.8966666666665</v>
      </c>
    </row>
    <row r="84" spans="1:9" ht="15" customHeight="1" x14ac:dyDescent="0.25">
      <c r="A84" s="161" t="s">
        <v>100</v>
      </c>
      <c r="B84" s="159">
        <v>1158.71</v>
      </c>
      <c r="C84" s="159">
        <v>6717.63</v>
      </c>
      <c r="D84" s="186">
        <f t="shared" si="6"/>
        <v>4.7975075730769561</v>
      </c>
      <c r="E84" s="159">
        <v>4080.46</v>
      </c>
      <c r="F84" s="159">
        <v>23611.7</v>
      </c>
      <c r="G84" s="159">
        <f t="shared" si="5"/>
        <v>4.7865289697730162</v>
      </c>
      <c r="H84" s="187"/>
      <c r="I84" s="135">
        <f t="shared" si="7"/>
        <v>2239.21</v>
      </c>
    </row>
    <row r="85" spans="1:9" ht="15" customHeight="1" x14ac:dyDescent="0.25">
      <c r="A85" s="146" t="s">
        <v>507</v>
      </c>
      <c r="B85" s="180">
        <f>SUM(B5:B84)</f>
        <v>131683.45000000004</v>
      </c>
      <c r="C85" s="180"/>
      <c r="D85" s="181"/>
      <c r="E85" s="180">
        <f>SUM(E5:E84)</f>
        <v>464792.70000000013</v>
      </c>
      <c r="F85" s="180"/>
      <c r="G85" s="180"/>
      <c r="H85" s="182"/>
      <c r="I85" s="26">
        <f>SUM(I5:I84)</f>
        <v>76722.869333333438</v>
      </c>
    </row>
    <row r="86" spans="1:9" ht="15" customHeight="1" x14ac:dyDescent="0.25">
      <c r="B86" s="173"/>
      <c r="C86" s="173"/>
      <c r="F86" s="172">
        <f>SUBTOTAL(9,F5:F85)</f>
        <v>808376.24000000046</v>
      </c>
      <c r="G86" s="173"/>
    </row>
    <row r="87" spans="1:9" ht="15" customHeight="1" x14ac:dyDescent="0.25">
      <c r="B87" s="173"/>
      <c r="C87" s="173">
        <f>SUBTOTAL(9,C5:C86)</f>
        <v>227468.60800000001</v>
      </c>
      <c r="G87" s="173"/>
    </row>
    <row r="88" spans="1:9" ht="15" customHeight="1" x14ac:dyDescent="0.25">
      <c r="B88" s="175"/>
      <c r="C88" s="175"/>
      <c r="D88" s="176"/>
      <c r="G88" s="175"/>
    </row>
    <row r="89" spans="1:9" ht="15" customHeight="1" x14ac:dyDescent="0.25">
      <c r="B89" s="175"/>
      <c r="C89" s="175"/>
      <c r="D89" s="176"/>
      <c r="G89" s="175"/>
    </row>
    <row r="90" spans="1:9" ht="15" customHeight="1" x14ac:dyDescent="0.25">
      <c r="B90" s="173"/>
      <c r="C90" s="173"/>
      <c r="E90" s="177"/>
      <c r="F90" s="177"/>
      <c r="G90" s="173"/>
    </row>
    <row r="91" spans="1:9" ht="15" customHeight="1" x14ac:dyDescent="0.25">
      <c r="B91" s="173"/>
      <c r="C91" s="173"/>
      <c r="E91" s="177"/>
      <c r="F91" s="177"/>
      <c r="G91" s="173"/>
    </row>
    <row r="92" spans="1:9" ht="15" customHeight="1" x14ac:dyDescent="0.25">
      <c r="B92" s="173"/>
      <c r="C92" s="173"/>
      <c r="G92" s="173"/>
    </row>
    <row r="93" spans="1:9" ht="15" customHeight="1" x14ac:dyDescent="0.25">
      <c r="B93" s="173"/>
      <c r="C93" s="173"/>
      <c r="G93" s="173"/>
    </row>
    <row r="94" spans="1:9" ht="15" customHeight="1" x14ac:dyDescent="0.25">
      <c r="B94" s="173"/>
      <c r="C94" s="173"/>
      <c r="G94" s="173"/>
    </row>
    <row r="95" spans="1:9" ht="15" customHeight="1" x14ac:dyDescent="0.25">
      <c r="B95" s="173"/>
      <c r="C95" s="173"/>
      <c r="G95" s="173"/>
    </row>
  </sheetData>
  <autoFilter ref="A4:I4" xr:uid="{00000000-0009-0000-0000-000036000000}">
    <sortState xmlns:xlrd2="http://schemas.microsoft.com/office/spreadsheetml/2017/richdata2" ref="A5:I87">
      <sortCondition ref="A4"/>
    </sortState>
  </autoFilter>
  <mergeCells count="5">
    <mergeCell ref="A1:I2"/>
    <mergeCell ref="K4:L4"/>
    <mergeCell ref="K6:L6"/>
    <mergeCell ref="K8:L8"/>
    <mergeCell ref="K10:L10"/>
  </mergeCells>
  <pageMargins left="0.7" right="0.7" top="0.75" bottom="0.75" header="0.3" footer="0.3"/>
  <pageSetup paperSize="9" orientation="portrait" verticalDpi="0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7030A0"/>
  </sheetPr>
  <dimension ref="A1:Q86"/>
  <sheetViews>
    <sheetView topLeftCell="D1" workbookViewId="0">
      <selection activeCell="M4" sqref="M4"/>
    </sheetView>
  </sheetViews>
  <sheetFormatPr baseColWidth="10" defaultRowHeight="15" x14ac:dyDescent="0.25"/>
  <cols>
    <col min="1" max="1" width="12.85546875" style="108" bestFit="1" customWidth="1"/>
    <col min="2" max="2" width="16.140625" style="191" customWidth="1"/>
    <col min="3" max="3" width="16.5703125" style="108" customWidth="1"/>
    <col min="4" max="4" width="9.140625" style="108" customWidth="1"/>
    <col min="5" max="5" width="14.5703125" style="108" customWidth="1"/>
    <col min="6" max="6" width="15" style="108" customWidth="1"/>
    <col min="7" max="9" width="9.140625" style="108" customWidth="1"/>
    <col min="10" max="11" width="16.5703125" style="108" customWidth="1"/>
    <col min="12" max="12" width="17.5703125" style="108" customWidth="1"/>
    <col min="13" max="13" width="22.140625" style="108" bestFit="1" customWidth="1"/>
    <col min="14" max="14" width="12.5703125" style="178" bestFit="1" customWidth="1"/>
    <col min="15" max="16384" width="11.42578125" style="108"/>
  </cols>
  <sheetData>
    <row r="1" spans="1:17" x14ac:dyDescent="0.25">
      <c r="A1" s="695" t="s">
        <v>519</v>
      </c>
      <c r="B1" s="695"/>
      <c r="C1" s="695"/>
      <c r="D1" s="695"/>
      <c r="E1" s="695"/>
      <c r="F1" s="695"/>
      <c r="G1" s="695"/>
      <c r="H1" s="695"/>
      <c r="I1" s="695"/>
      <c r="J1" s="695"/>
      <c r="K1" s="695"/>
      <c r="L1" s="695"/>
      <c r="M1" s="695"/>
      <c r="N1" s="695"/>
    </row>
    <row r="2" spans="1:17" x14ac:dyDescent="0.25">
      <c r="A2" s="695"/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</row>
    <row r="3" spans="1:17" ht="15.75" thickBot="1" x14ac:dyDescent="0.3">
      <c r="A3" s="172"/>
      <c r="B3" s="172"/>
      <c r="C3" s="172"/>
      <c r="D3" s="174"/>
      <c r="E3" s="172"/>
      <c r="F3" s="172"/>
      <c r="G3" s="172"/>
      <c r="H3" s="172"/>
      <c r="I3" s="178"/>
    </row>
    <row r="4" spans="1:17" s="188" customFormat="1" ht="15" customHeight="1" thickBot="1" x14ac:dyDescent="0.3">
      <c r="A4" s="179" t="s">
        <v>506</v>
      </c>
      <c r="B4" s="180" t="s">
        <v>515</v>
      </c>
      <c r="C4" s="180" t="s">
        <v>516</v>
      </c>
      <c r="D4" s="181"/>
      <c r="E4" s="180" t="s">
        <v>517</v>
      </c>
      <c r="F4" s="180" t="s">
        <v>518</v>
      </c>
      <c r="G4" s="180"/>
      <c r="H4" s="182"/>
      <c r="J4" s="189" t="s">
        <v>520</v>
      </c>
      <c r="K4" s="189" t="s">
        <v>521</v>
      </c>
      <c r="L4" s="189" t="s">
        <v>522</v>
      </c>
      <c r="M4" s="189" t="s">
        <v>523</v>
      </c>
      <c r="N4" s="26" t="s">
        <v>507</v>
      </c>
      <c r="P4" s="687" t="s">
        <v>511</v>
      </c>
      <c r="Q4" s="688"/>
    </row>
    <row r="5" spans="1:17" s="172" customFormat="1" ht="15" customHeight="1" thickBot="1" x14ac:dyDescent="0.3">
      <c r="A5" s="200" t="s">
        <v>399</v>
      </c>
      <c r="B5" s="170">
        <v>24506.41</v>
      </c>
      <c r="C5" s="170">
        <v>2402.6</v>
      </c>
      <c r="D5" s="170">
        <v>2402.6</v>
      </c>
      <c r="E5" s="170">
        <v>2402.6</v>
      </c>
      <c r="F5" s="170">
        <v>2402.6</v>
      </c>
      <c r="G5" s="170">
        <v>2402.6</v>
      </c>
      <c r="H5" s="170">
        <v>2402.6</v>
      </c>
      <c r="I5" s="170">
        <v>2402.6</v>
      </c>
      <c r="J5" s="170">
        <v>2402.6</v>
      </c>
      <c r="K5" s="170">
        <v>2402.6</v>
      </c>
      <c r="L5" s="170">
        <v>2402.6</v>
      </c>
      <c r="M5" s="170">
        <v>2402.6</v>
      </c>
      <c r="N5" s="199">
        <v>2402.6</v>
      </c>
      <c r="P5" s="108"/>
      <c r="Q5" s="108"/>
    </row>
    <row r="6" spans="1:17" ht="15" customHeight="1" thickBot="1" x14ac:dyDescent="0.3">
      <c r="A6" s="194" t="s">
        <v>440</v>
      </c>
      <c r="B6" s="195">
        <v>9494.57</v>
      </c>
      <c r="C6" s="195">
        <v>930.8</v>
      </c>
      <c r="D6" s="195">
        <v>930.8</v>
      </c>
      <c r="E6" s="195">
        <v>930.8</v>
      </c>
      <c r="F6" s="195">
        <v>930.8</v>
      </c>
      <c r="G6" s="195">
        <v>930.8</v>
      </c>
      <c r="H6" s="195">
        <v>930.8</v>
      </c>
      <c r="I6" s="195">
        <v>930.8</v>
      </c>
      <c r="J6" s="195">
        <v>930.8</v>
      </c>
      <c r="K6" s="195">
        <v>930.8</v>
      </c>
      <c r="L6" s="195">
        <v>930.8</v>
      </c>
      <c r="M6" s="195">
        <v>930.8</v>
      </c>
      <c r="N6" s="196">
        <v>930.8</v>
      </c>
      <c r="P6" s="689" t="s">
        <v>512</v>
      </c>
      <c r="Q6" s="690"/>
    </row>
    <row r="7" spans="1:17" ht="15" customHeight="1" thickBot="1" x14ac:dyDescent="0.3">
      <c r="A7" s="194" t="s">
        <v>442</v>
      </c>
      <c r="B7" s="195">
        <v>9494.57</v>
      </c>
      <c r="C7" s="195">
        <v>930.8</v>
      </c>
      <c r="D7" s="195">
        <v>930.8</v>
      </c>
      <c r="E7" s="195">
        <v>930.8</v>
      </c>
      <c r="F7" s="195">
        <v>930.8</v>
      </c>
      <c r="G7" s="195">
        <v>930.8</v>
      </c>
      <c r="H7" s="195">
        <v>930.8</v>
      </c>
      <c r="I7" s="195">
        <v>930.8</v>
      </c>
      <c r="J7" s="195">
        <v>930.8</v>
      </c>
      <c r="K7" s="195">
        <v>930.8</v>
      </c>
      <c r="L7" s="195">
        <v>930.8</v>
      </c>
      <c r="M7" s="195">
        <v>930.8</v>
      </c>
      <c r="N7" s="196">
        <v>930.8</v>
      </c>
    </row>
    <row r="8" spans="1:17" ht="15" customHeight="1" thickBot="1" x14ac:dyDescent="0.3">
      <c r="A8" s="194" t="s">
        <v>438</v>
      </c>
      <c r="B8" s="195">
        <v>7695.18</v>
      </c>
      <c r="C8" s="195">
        <v>754.4</v>
      </c>
      <c r="D8" s="195">
        <v>754.4</v>
      </c>
      <c r="E8" s="195">
        <v>754.4</v>
      </c>
      <c r="F8" s="195">
        <v>754.4</v>
      </c>
      <c r="G8" s="195">
        <v>754.4</v>
      </c>
      <c r="H8" s="195">
        <v>754.4</v>
      </c>
      <c r="I8" s="195">
        <v>754.4</v>
      </c>
      <c r="J8" s="195">
        <v>754.4</v>
      </c>
      <c r="K8" s="195">
        <v>754.4</v>
      </c>
      <c r="L8" s="195">
        <v>754.4</v>
      </c>
      <c r="M8" s="195">
        <v>754.4</v>
      </c>
      <c r="N8" s="196">
        <v>754.4</v>
      </c>
      <c r="P8" s="691" t="s">
        <v>513</v>
      </c>
      <c r="Q8" s="692"/>
    </row>
    <row r="9" spans="1:17" s="172" customFormat="1" ht="15" customHeight="1" thickBot="1" x14ac:dyDescent="0.3">
      <c r="A9" s="183" t="s">
        <v>99</v>
      </c>
      <c r="B9" s="156">
        <v>31097.79</v>
      </c>
      <c r="C9" s="156">
        <v>3048.8</v>
      </c>
      <c r="D9" s="156">
        <v>3048.8</v>
      </c>
      <c r="E9" s="156">
        <v>3048.8</v>
      </c>
      <c r="F9" s="156">
        <v>3048.8</v>
      </c>
      <c r="G9" s="156">
        <v>3048.8</v>
      </c>
      <c r="H9" s="156">
        <v>3048.8</v>
      </c>
      <c r="I9" s="156">
        <v>3048.8</v>
      </c>
      <c r="J9" s="156">
        <v>3048.8</v>
      </c>
      <c r="K9" s="156">
        <v>3048.8</v>
      </c>
      <c r="L9" s="156">
        <v>3048.8</v>
      </c>
      <c r="M9" s="156">
        <v>3048.8</v>
      </c>
      <c r="N9" s="144">
        <v>3048.8</v>
      </c>
      <c r="P9" s="108"/>
      <c r="Q9" s="108"/>
    </row>
    <row r="10" spans="1:17" s="172" customFormat="1" ht="15" customHeight="1" thickBot="1" x14ac:dyDescent="0.3">
      <c r="A10" s="183" t="s">
        <v>105</v>
      </c>
      <c r="B10" s="156">
        <v>31097.79</v>
      </c>
      <c r="C10" s="156">
        <v>3048.8</v>
      </c>
      <c r="D10" s="156">
        <v>3048.8</v>
      </c>
      <c r="E10" s="156">
        <v>3048.8</v>
      </c>
      <c r="F10" s="156">
        <v>3048.8</v>
      </c>
      <c r="G10" s="156">
        <v>3048.8</v>
      </c>
      <c r="H10" s="156">
        <v>3048.8</v>
      </c>
      <c r="I10" s="156">
        <v>3048.8</v>
      </c>
      <c r="J10" s="156">
        <v>3048.8</v>
      </c>
      <c r="K10" s="156">
        <v>3048.8</v>
      </c>
      <c r="L10" s="156">
        <v>3048.8</v>
      </c>
      <c r="M10" s="156">
        <v>3048.8</v>
      </c>
      <c r="N10" s="144">
        <v>3048.8</v>
      </c>
      <c r="P10" s="693" t="s">
        <v>514</v>
      </c>
      <c r="Q10" s="694"/>
    </row>
    <row r="11" spans="1:17" s="172" customFormat="1" ht="15" customHeight="1" x14ac:dyDescent="0.25">
      <c r="A11" s="183" t="s">
        <v>117</v>
      </c>
      <c r="B11" s="156">
        <v>31097.79</v>
      </c>
      <c r="C11" s="156">
        <v>3048.8</v>
      </c>
      <c r="D11" s="156">
        <v>3048.8</v>
      </c>
      <c r="E11" s="156">
        <v>3048.8</v>
      </c>
      <c r="F11" s="156">
        <v>3048.8</v>
      </c>
      <c r="G11" s="156">
        <v>3048.8</v>
      </c>
      <c r="H11" s="156">
        <v>3048.8</v>
      </c>
      <c r="I11" s="156">
        <v>3048.8</v>
      </c>
      <c r="J11" s="156">
        <v>3048.8</v>
      </c>
      <c r="K11" s="156">
        <v>3048.8</v>
      </c>
      <c r="L11" s="156">
        <v>3048.8</v>
      </c>
      <c r="M11" s="156">
        <v>3048.8</v>
      </c>
      <c r="N11" s="144">
        <v>3048.8</v>
      </c>
    </row>
    <row r="12" spans="1:17" s="172" customFormat="1" ht="15" customHeight="1" x14ac:dyDescent="0.25">
      <c r="A12" s="183" t="s">
        <v>123</v>
      </c>
      <c r="B12" s="156">
        <v>31097.79</v>
      </c>
      <c r="C12" s="156">
        <v>3048.8</v>
      </c>
      <c r="D12" s="156">
        <v>3048.8</v>
      </c>
      <c r="E12" s="156">
        <v>3048.8</v>
      </c>
      <c r="F12" s="156">
        <v>3048.8</v>
      </c>
      <c r="G12" s="156">
        <v>3048.8</v>
      </c>
      <c r="H12" s="156">
        <v>3048.8</v>
      </c>
      <c r="I12" s="156">
        <v>3048.8</v>
      </c>
      <c r="J12" s="156">
        <v>3048.8</v>
      </c>
      <c r="K12" s="156">
        <v>3048.8</v>
      </c>
      <c r="L12" s="156">
        <v>3048.8</v>
      </c>
      <c r="M12" s="156">
        <v>3048.8</v>
      </c>
      <c r="N12" s="144">
        <v>3048.8</v>
      </c>
    </row>
    <row r="13" spans="1:17" s="172" customFormat="1" ht="15" hidden="1" customHeight="1" x14ac:dyDescent="0.25">
      <c r="A13" s="151" t="s">
        <v>246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17"/>
    </row>
    <row r="14" spans="1:17" s="172" customFormat="1" ht="15" hidden="1" customHeight="1" x14ac:dyDescent="0.25">
      <c r="A14" s="151" t="s">
        <v>142</v>
      </c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17"/>
    </row>
    <row r="15" spans="1:17" s="172" customFormat="1" ht="15" customHeight="1" x14ac:dyDescent="0.25">
      <c r="A15" s="183" t="s">
        <v>141</v>
      </c>
      <c r="B15" s="156">
        <v>33430.129999999997</v>
      </c>
      <c r="C15" s="156">
        <v>3277.5</v>
      </c>
      <c r="D15" s="156">
        <v>3277.5</v>
      </c>
      <c r="E15" s="156">
        <v>3277.5</v>
      </c>
      <c r="F15" s="156">
        <v>3277.5</v>
      </c>
      <c r="G15" s="156">
        <v>3277.5</v>
      </c>
      <c r="H15" s="156">
        <v>3277.5</v>
      </c>
      <c r="I15" s="156">
        <v>3277.5</v>
      </c>
      <c r="J15" s="156">
        <v>3277.5</v>
      </c>
      <c r="K15" s="156">
        <v>3277.5</v>
      </c>
      <c r="L15" s="156">
        <v>3277.5</v>
      </c>
      <c r="M15" s="156">
        <v>3277.5</v>
      </c>
      <c r="N15" s="144">
        <v>3277.5</v>
      </c>
    </row>
    <row r="16" spans="1:17" s="172" customFormat="1" ht="15" customHeight="1" x14ac:dyDescent="0.25">
      <c r="A16" s="183" t="s">
        <v>146</v>
      </c>
      <c r="B16" s="156">
        <v>33430.129999999997</v>
      </c>
      <c r="C16" s="156">
        <v>3277.5</v>
      </c>
      <c r="D16" s="156">
        <v>3277.5</v>
      </c>
      <c r="E16" s="156">
        <v>3277.5</v>
      </c>
      <c r="F16" s="156">
        <v>3277.5</v>
      </c>
      <c r="G16" s="156">
        <v>3277.5</v>
      </c>
      <c r="H16" s="156">
        <v>3277.5</v>
      </c>
      <c r="I16" s="156">
        <v>3277.5</v>
      </c>
      <c r="J16" s="156">
        <v>3277.5</v>
      </c>
      <c r="K16" s="156">
        <v>3277.5</v>
      </c>
      <c r="L16" s="156">
        <v>3277.5</v>
      </c>
      <c r="M16" s="156">
        <v>3277.5</v>
      </c>
      <c r="N16" s="144">
        <v>3277.5</v>
      </c>
    </row>
    <row r="17" spans="1:14" s="172" customFormat="1" ht="15" customHeight="1" x14ac:dyDescent="0.25">
      <c r="A17" s="183" t="s">
        <v>150</v>
      </c>
      <c r="B17" s="156">
        <v>33430.129999999997</v>
      </c>
      <c r="C17" s="156">
        <v>3277.5</v>
      </c>
      <c r="D17" s="156">
        <v>3277.5</v>
      </c>
      <c r="E17" s="156">
        <v>3277.5</v>
      </c>
      <c r="F17" s="156">
        <v>3277.5</v>
      </c>
      <c r="G17" s="156">
        <v>3277.5</v>
      </c>
      <c r="H17" s="156">
        <v>3277.5</v>
      </c>
      <c r="I17" s="156">
        <v>3277.5</v>
      </c>
      <c r="J17" s="156">
        <v>3277.5</v>
      </c>
      <c r="K17" s="156">
        <v>3277.5</v>
      </c>
      <c r="L17" s="156">
        <v>3277.5</v>
      </c>
      <c r="M17" s="156">
        <v>3277.5</v>
      </c>
      <c r="N17" s="144">
        <v>3277.5</v>
      </c>
    </row>
    <row r="18" spans="1:14" s="172" customFormat="1" ht="15" hidden="1" customHeight="1" x14ac:dyDescent="0.25">
      <c r="A18" s="151" t="s">
        <v>147</v>
      </c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17"/>
    </row>
    <row r="19" spans="1:14" s="172" customFormat="1" ht="15" hidden="1" customHeight="1" x14ac:dyDescent="0.25">
      <c r="A19" s="151" t="s">
        <v>499</v>
      </c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17"/>
    </row>
    <row r="20" spans="1:14" s="172" customFormat="1" ht="15" hidden="1" customHeight="1" x14ac:dyDescent="0.25">
      <c r="A20" s="151" t="s">
        <v>292</v>
      </c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17"/>
    </row>
    <row r="21" spans="1:14" s="172" customFormat="1" ht="15" customHeight="1" x14ac:dyDescent="0.25">
      <c r="A21" s="161" t="s">
        <v>229</v>
      </c>
      <c r="B21" s="159"/>
      <c r="C21" s="159"/>
      <c r="D21" s="159"/>
      <c r="E21" s="159"/>
      <c r="F21" s="159">
        <v>2061.8000000000002</v>
      </c>
      <c r="G21" s="159">
        <v>2061.8000000000002</v>
      </c>
      <c r="H21" s="159">
        <v>2061.8000000000002</v>
      </c>
      <c r="I21" s="159">
        <v>2061.8000000000002</v>
      </c>
      <c r="J21" s="159">
        <v>2061.8000000000002</v>
      </c>
      <c r="K21" s="159">
        <v>2061.8000000000002</v>
      </c>
      <c r="L21" s="159">
        <v>2061.8000000000002</v>
      </c>
      <c r="M21" s="159">
        <v>2061.8000000000002</v>
      </c>
      <c r="N21" s="143">
        <v>2061.8000000000002</v>
      </c>
    </row>
    <row r="22" spans="1:14" s="172" customFormat="1" ht="15" hidden="1" customHeight="1" x14ac:dyDescent="0.25">
      <c r="A22" s="151" t="s">
        <v>118</v>
      </c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17"/>
    </row>
    <row r="23" spans="1:14" s="172" customFormat="1" ht="15" hidden="1" customHeight="1" x14ac:dyDescent="0.25">
      <c r="A23" s="151" t="s">
        <v>124</v>
      </c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17"/>
    </row>
    <row r="24" spans="1:14" ht="15" hidden="1" customHeight="1" x14ac:dyDescent="0.25">
      <c r="A24" s="115" t="s">
        <v>174</v>
      </c>
      <c r="B24" s="190">
        <v>0</v>
      </c>
      <c r="C24" s="190">
        <v>0</v>
      </c>
      <c r="D24" s="190">
        <v>0</v>
      </c>
      <c r="E24" s="190">
        <v>0</v>
      </c>
      <c r="F24" s="190">
        <v>0</v>
      </c>
      <c r="G24" s="190">
        <v>0</v>
      </c>
      <c r="H24" s="190">
        <v>0</v>
      </c>
      <c r="I24" s="190">
        <v>0</v>
      </c>
      <c r="J24" s="190">
        <v>0</v>
      </c>
      <c r="K24" s="190">
        <v>0</v>
      </c>
      <c r="L24" s="190">
        <v>0</v>
      </c>
      <c r="M24" s="190">
        <v>0</v>
      </c>
      <c r="N24" s="117">
        <v>0</v>
      </c>
    </row>
    <row r="25" spans="1:14" ht="15" hidden="1" customHeight="1" x14ac:dyDescent="0.25">
      <c r="A25" s="115" t="s">
        <v>279</v>
      </c>
      <c r="B25" s="190">
        <v>0</v>
      </c>
      <c r="C25" s="190">
        <v>0</v>
      </c>
      <c r="D25" s="190">
        <v>0</v>
      </c>
      <c r="E25" s="190">
        <v>0</v>
      </c>
      <c r="F25" s="190">
        <v>0</v>
      </c>
      <c r="G25" s="190">
        <v>0</v>
      </c>
      <c r="H25" s="190">
        <v>0</v>
      </c>
      <c r="I25" s="190">
        <v>0</v>
      </c>
      <c r="J25" s="190">
        <v>0</v>
      </c>
      <c r="K25" s="190">
        <v>0</v>
      </c>
      <c r="L25" s="190">
        <v>0</v>
      </c>
      <c r="M25" s="190">
        <v>0</v>
      </c>
      <c r="N25" s="117">
        <v>0</v>
      </c>
    </row>
    <row r="26" spans="1:14" ht="15" hidden="1" customHeight="1" x14ac:dyDescent="0.25">
      <c r="A26" s="115" t="s">
        <v>482</v>
      </c>
      <c r="B26" s="190">
        <v>0</v>
      </c>
      <c r="C26" s="190">
        <v>0</v>
      </c>
      <c r="D26" s="190">
        <v>0</v>
      </c>
      <c r="E26" s="190">
        <v>0</v>
      </c>
      <c r="F26" s="190">
        <v>0</v>
      </c>
      <c r="G26" s="190">
        <v>0</v>
      </c>
      <c r="H26" s="190">
        <v>0</v>
      </c>
      <c r="I26" s="190">
        <v>0</v>
      </c>
      <c r="J26" s="190">
        <v>0</v>
      </c>
      <c r="K26" s="190">
        <v>0</v>
      </c>
      <c r="L26" s="190">
        <v>0</v>
      </c>
      <c r="M26" s="190">
        <v>0</v>
      </c>
      <c r="N26" s="117">
        <v>0</v>
      </c>
    </row>
    <row r="27" spans="1:14" ht="15" hidden="1" customHeight="1" x14ac:dyDescent="0.25">
      <c r="A27" s="115" t="s">
        <v>243</v>
      </c>
      <c r="B27" s="190">
        <v>0</v>
      </c>
      <c r="C27" s="190">
        <v>0</v>
      </c>
      <c r="D27" s="190">
        <v>0</v>
      </c>
      <c r="E27" s="190">
        <v>0</v>
      </c>
      <c r="F27" s="190">
        <v>0</v>
      </c>
      <c r="G27" s="190">
        <v>0</v>
      </c>
      <c r="H27" s="190">
        <v>0</v>
      </c>
      <c r="I27" s="190">
        <v>0</v>
      </c>
      <c r="J27" s="190">
        <v>0</v>
      </c>
      <c r="K27" s="190">
        <v>0</v>
      </c>
      <c r="L27" s="190">
        <v>0</v>
      </c>
      <c r="M27" s="190">
        <v>0</v>
      </c>
      <c r="N27" s="117">
        <v>0</v>
      </c>
    </row>
    <row r="28" spans="1:14" ht="15" hidden="1" customHeight="1" x14ac:dyDescent="0.25">
      <c r="A28" s="115" t="s">
        <v>270</v>
      </c>
      <c r="B28" s="190">
        <v>0</v>
      </c>
      <c r="C28" s="190">
        <v>0</v>
      </c>
      <c r="D28" s="190">
        <v>0</v>
      </c>
      <c r="E28" s="190">
        <v>0</v>
      </c>
      <c r="F28" s="190">
        <v>0</v>
      </c>
      <c r="G28" s="190">
        <v>0</v>
      </c>
      <c r="H28" s="190">
        <v>0</v>
      </c>
      <c r="I28" s="190">
        <v>0</v>
      </c>
      <c r="J28" s="190">
        <v>0</v>
      </c>
      <c r="K28" s="190">
        <v>0</v>
      </c>
      <c r="L28" s="190">
        <v>0</v>
      </c>
      <c r="M28" s="190">
        <v>0</v>
      </c>
      <c r="N28" s="117">
        <v>0</v>
      </c>
    </row>
    <row r="29" spans="1:14" ht="15" hidden="1" customHeight="1" x14ac:dyDescent="0.25">
      <c r="A29" s="115" t="s">
        <v>80</v>
      </c>
      <c r="B29" s="190">
        <v>0</v>
      </c>
      <c r="C29" s="190">
        <v>0</v>
      </c>
      <c r="D29" s="190">
        <v>0</v>
      </c>
      <c r="E29" s="190">
        <v>0</v>
      </c>
      <c r="F29" s="190">
        <v>0</v>
      </c>
      <c r="G29" s="190">
        <v>0</v>
      </c>
      <c r="H29" s="190">
        <v>0</v>
      </c>
      <c r="I29" s="190">
        <v>0</v>
      </c>
      <c r="J29" s="190">
        <v>0</v>
      </c>
      <c r="K29" s="190">
        <v>0</v>
      </c>
      <c r="L29" s="190">
        <v>0</v>
      </c>
      <c r="M29" s="190">
        <v>0</v>
      </c>
      <c r="N29" s="117">
        <v>0</v>
      </c>
    </row>
    <row r="30" spans="1:14" ht="15" hidden="1" customHeight="1" x14ac:dyDescent="0.25">
      <c r="A30" s="115" t="s">
        <v>286</v>
      </c>
      <c r="B30" s="190">
        <v>0</v>
      </c>
      <c r="C30" s="190">
        <v>0</v>
      </c>
      <c r="D30" s="190">
        <v>0</v>
      </c>
      <c r="E30" s="190">
        <v>0</v>
      </c>
      <c r="F30" s="190">
        <v>0</v>
      </c>
      <c r="G30" s="190">
        <v>0</v>
      </c>
      <c r="H30" s="190">
        <v>0</v>
      </c>
      <c r="I30" s="190">
        <v>0</v>
      </c>
      <c r="J30" s="190">
        <v>0</v>
      </c>
      <c r="K30" s="190">
        <v>0</v>
      </c>
      <c r="L30" s="190">
        <v>0</v>
      </c>
      <c r="M30" s="190">
        <v>0</v>
      </c>
      <c r="N30" s="117">
        <v>0</v>
      </c>
    </row>
    <row r="31" spans="1:14" ht="15" hidden="1" customHeight="1" x14ac:dyDescent="0.25">
      <c r="A31" s="115" t="s">
        <v>179</v>
      </c>
      <c r="B31" s="190">
        <v>0</v>
      </c>
      <c r="C31" s="190">
        <v>0</v>
      </c>
      <c r="D31" s="190">
        <v>0</v>
      </c>
      <c r="E31" s="190">
        <v>0</v>
      </c>
      <c r="F31" s="190">
        <v>0</v>
      </c>
      <c r="G31" s="190">
        <v>0</v>
      </c>
      <c r="H31" s="190">
        <v>0</v>
      </c>
      <c r="I31" s="190">
        <v>0</v>
      </c>
      <c r="J31" s="190">
        <v>0</v>
      </c>
      <c r="K31" s="190">
        <v>0</v>
      </c>
      <c r="L31" s="190">
        <v>0</v>
      </c>
      <c r="M31" s="190">
        <v>0</v>
      </c>
      <c r="N31" s="117">
        <v>0</v>
      </c>
    </row>
    <row r="32" spans="1:14" ht="15" hidden="1" customHeight="1" x14ac:dyDescent="0.25">
      <c r="A32" s="115" t="s">
        <v>249</v>
      </c>
      <c r="B32" s="190">
        <v>0</v>
      </c>
      <c r="C32" s="190">
        <v>0</v>
      </c>
      <c r="D32" s="190">
        <v>0</v>
      </c>
      <c r="E32" s="190">
        <v>0</v>
      </c>
      <c r="F32" s="190">
        <v>0</v>
      </c>
      <c r="G32" s="190">
        <v>0</v>
      </c>
      <c r="H32" s="190">
        <v>0</v>
      </c>
      <c r="I32" s="190">
        <v>0</v>
      </c>
      <c r="J32" s="190">
        <v>0</v>
      </c>
      <c r="K32" s="190">
        <v>0</v>
      </c>
      <c r="L32" s="190">
        <v>0</v>
      </c>
      <c r="M32" s="190">
        <v>0</v>
      </c>
      <c r="N32" s="117">
        <v>0</v>
      </c>
    </row>
    <row r="33" spans="1:14" ht="15" customHeight="1" x14ac:dyDescent="0.25">
      <c r="A33" s="63" t="s">
        <v>199</v>
      </c>
      <c r="B33" s="192">
        <v>15011.71</v>
      </c>
      <c r="C33" s="192">
        <v>1471.7</v>
      </c>
      <c r="D33" s="192">
        <v>1471.7</v>
      </c>
      <c r="E33" s="192">
        <v>1471.7</v>
      </c>
      <c r="F33" s="192">
        <v>1471.7</v>
      </c>
      <c r="G33" s="192">
        <v>1471.7</v>
      </c>
      <c r="H33" s="192">
        <v>1471.7</v>
      </c>
      <c r="I33" s="192">
        <v>1471.7</v>
      </c>
      <c r="J33" s="192">
        <v>1471.7</v>
      </c>
      <c r="K33" s="192">
        <v>1471.7</v>
      </c>
      <c r="L33" s="192">
        <v>1471.7</v>
      </c>
      <c r="M33" s="192">
        <v>1471.7</v>
      </c>
      <c r="N33" s="144">
        <v>1471.7</v>
      </c>
    </row>
    <row r="34" spans="1:14" ht="15" customHeight="1" x14ac:dyDescent="0.25">
      <c r="A34" s="63" t="s">
        <v>207</v>
      </c>
      <c r="B34" s="192">
        <v>15011.71</v>
      </c>
      <c r="C34" s="192">
        <v>1471.7</v>
      </c>
      <c r="D34" s="192">
        <v>1471.7</v>
      </c>
      <c r="E34" s="192">
        <v>1471.7</v>
      </c>
      <c r="F34" s="192">
        <v>1471.7</v>
      </c>
      <c r="G34" s="192">
        <v>1471.7</v>
      </c>
      <c r="H34" s="192">
        <v>1471.7</v>
      </c>
      <c r="I34" s="192">
        <v>1471.7</v>
      </c>
      <c r="J34" s="192">
        <v>1471.7</v>
      </c>
      <c r="K34" s="192">
        <v>1471.7</v>
      </c>
      <c r="L34" s="192">
        <v>1471.7</v>
      </c>
      <c r="M34" s="192">
        <v>1471.7</v>
      </c>
      <c r="N34" s="144">
        <v>1471.7</v>
      </c>
    </row>
    <row r="35" spans="1:14" ht="15" hidden="1" customHeight="1" x14ac:dyDescent="0.25">
      <c r="A35" s="115" t="s">
        <v>200</v>
      </c>
      <c r="B35" s="190">
        <v>0</v>
      </c>
      <c r="C35" s="190">
        <v>0</v>
      </c>
      <c r="D35" s="190">
        <v>0</v>
      </c>
      <c r="E35" s="190">
        <v>0</v>
      </c>
      <c r="F35" s="190">
        <v>0</v>
      </c>
      <c r="G35" s="190">
        <v>0</v>
      </c>
      <c r="H35" s="190">
        <v>0</v>
      </c>
      <c r="I35" s="190">
        <v>0</v>
      </c>
      <c r="J35" s="190">
        <v>0</v>
      </c>
      <c r="K35" s="190">
        <v>0</v>
      </c>
      <c r="L35" s="190">
        <v>0</v>
      </c>
      <c r="M35" s="190">
        <v>0</v>
      </c>
      <c r="N35" s="117">
        <v>0</v>
      </c>
    </row>
    <row r="36" spans="1:14" ht="15" hidden="1" customHeight="1" x14ac:dyDescent="0.25">
      <c r="A36" s="115" t="s">
        <v>289</v>
      </c>
      <c r="B36" s="190">
        <v>0</v>
      </c>
      <c r="C36" s="190">
        <v>0</v>
      </c>
      <c r="D36" s="190">
        <v>0</v>
      </c>
      <c r="E36" s="190">
        <v>0</v>
      </c>
      <c r="F36" s="190">
        <v>0</v>
      </c>
      <c r="G36" s="190">
        <v>0</v>
      </c>
      <c r="H36" s="190">
        <v>0</v>
      </c>
      <c r="I36" s="190">
        <v>0</v>
      </c>
      <c r="J36" s="190">
        <v>0</v>
      </c>
      <c r="K36" s="190">
        <v>0</v>
      </c>
      <c r="L36" s="190">
        <v>0</v>
      </c>
      <c r="M36" s="190">
        <v>0</v>
      </c>
      <c r="N36" s="117">
        <v>0</v>
      </c>
    </row>
    <row r="37" spans="1:14" ht="15" hidden="1" customHeight="1" x14ac:dyDescent="0.25">
      <c r="A37" s="115" t="s">
        <v>265</v>
      </c>
      <c r="B37" s="190">
        <v>0</v>
      </c>
      <c r="C37" s="190">
        <v>0</v>
      </c>
      <c r="D37" s="190">
        <v>0</v>
      </c>
      <c r="E37" s="190">
        <v>0</v>
      </c>
      <c r="F37" s="190">
        <v>0</v>
      </c>
      <c r="G37" s="190">
        <v>0</v>
      </c>
      <c r="H37" s="190">
        <v>0</v>
      </c>
      <c r="I37" s="190">
        <v>0</v>
      </c>
      <c r="J37" s="190">
        <v>0</v>
      </c>
      <c r="K37" s="190">
        <v>0</v>
      </c>
      <c r="L37" s="190">
        <v>0</v>
      </c>
      <c r="M37" s="190">
        <v>0</v>
      </c>
      <c r="N37" s="117">
        <v>0</v>
      </c>
    </row>
    <row r="38" spans="1:14" ht="15" hidden="1" customHeight="1" x14ac:dyDescent="0.25">
      <c r="A38" s="115" t="s">
        <v>238</v>
      </c>
      <c r="B38" s="190">
        <v>0</v>
      </c>
      <c r="C38" s="190">
        <v>0</v>
      </c>
      <c r="D38" s="190">
        <v>0</v>
      </c>
      <c r="E38" s="190">
        <v>0</v>
      </c>
      <c r="F38" s="190">
        <v>0</v>
      </c>
      <c r="G38" s="190">
        <v>0</v>
      </c>
      <c r="H38" s="190">
        <v>0</v>
      </c>
      <c r="I38" s="190">
        <v>0</v>
      </c>
      <c r="J38" s="190">
        <v>0</v>
      </c>
      <c r="K38" s="190">
        <v>0</v>
      </c>
      <c r="L38" s="190">
        <v>0</v>
      </c>
      <c r="M38" s="190">
        <v>0</v>
      </c>
      <c r="N38" s="117">
        <v>0</v>
      </c>
    </row>
    <row r="39" spans="1:14" ht="15" hidden="1" customHeight="1" x14ac:dyDescent="0.25">
      <c r="A39" s="115" t="s">
        <v>106</v>
      </c>
      <c r="B39" s="190">
        <v>0</v>
      </c>
      <c r="C39" s="190">
        <v>0</v>
      </c>
      <c r="D39" s="190">
        <v>0</v>
      </c>
      <c r="E39" s="190">
        <v>0</v>
      </c>
      <c r="F39" s="190">
        <v>0</v>
      </c>
      <c r="G39" s="190">
        <v>0</v>
      </c>
      <c r="H39" s="190">
        <v>0</v>
      </c>
      <c r="I39" s="190">
        <v>0</v>
      </c>
      <c r="J39" s="190">
        <v>0</v>
      </c>
      <c r="K39" s="190">
        <v>0</v>
      </c>
      <c r="L39" s="190">
        <v>0</v>
      </c>
      <c r="M39" s="190">
        <v>0</v>
      </c>
      <c r="N39" s="117">
        <v>0</v>
      </c>
    </row>
    <row r="40" spans="1:14" ht="15" hidden="1" customHeight="1" x14ac:dyDescent="0.25">
      <c r="A40" s="115" t="s">
        <v>183</v>
      </c>
      <c r="B40" s="190">
        <v>0</v>
      </c>
      <c r="C40" s="190">
        <v>0</v>
      </c>
      <c r="D40" s="190">
        <v>0</v>
      </c>
      <c r="E40" s="190">
        <v>0</v>
      </c>
      <c r="F40" s="190">
        <v>0</v>
      </c>
      <c r="G40" s="190">
        <v>0</v>
      </c>
      <c r="H40" s="190">
        <v>0</v>
      </c>
      <c r="I40" s="190">
        <v>0</v>
      </c>
      <c r="J40" s="190">
        <v>0</v>
      </c>
      <c r="K40" s="190">
        <v>0</v>
      </c>
      <c r="L40" s="190">
        <v>0</v>
      </c>
      <c r="M40" s="190">
        <v>0</v>
      </c>
      <c r="N40" s="117">
        <v>0</v>
      </c>
    </row>
    <row r="41" spans="1:14" ht="15" hidden="1" customHeight="1" x14ac:dyDescent="0.25">
      <c r="A41" s="115" t="s">
        <v>471</v>
      </c>
      <c r="B41" s="190" t="s">
        <v>524</v>
      </c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17"/>
    </row>
    <row r="42" spans="1:14" ht="15" hidden="1" customHeight="1" x14ac:dyDescent="0.25">
      <c r="A42" s="115" t="s">
        <v>49</v>
      </c>
      <c r="B42" s="190" t="s">
        <v>524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17"/>
    </row>
    <row r="43" spans="1:14" ht="15" hidden="1" customHeight="1" x14ac:dyDescent="0.25">
      <c r="A43" s="115" t="s">
        <v>253</v>
      </c>
      <c r="B43" s="190" t="s">
        <v>524</v>
      </c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17"/>
    </row>
    <row r="44" spans="1:14" ht="15" customHeight="1" x14ac:dyDescent="0.25">
      <c r="A44" s="63" t="s">
        <v>228</v>
      </c>
      <c r="B44" s="192">
        <v>18002.400000000001</v>
      </c>
      <c r="C44" s="192">
        <v>1764.9</v>
      </c>
      <c r="D44" s="192">
        <v>1764.9</v>
      </c>
      <c r="E44" s="192">
        <v>1764.9</v>
      </c>
      <c r="F44" s="192">
        <v>1764.9</v>
      </c>
      <c r="G44" s="192">
        <v>1764.9</v>
      </c>
      <c r="H44" s="192">
        <v>1764.9</v>
      </c>
      <c r="I44" s="192">
        <v>1764.9</v>
      </c>
      <c r="J44" s="192">
        <v>1764.9</v>
      </c>
      <c r="K44" s="192">
        <v>1764.9</v>
      </c>
      <c r="L44" s="192">
        <v>1764.9</v>
      </c>
      <c r="M44" s="192">
        <v>1764.9</v>
      </c>
      <c r="N44" s="144">
        <v>1764.9</v>
      </c>
    </row>
    <row r="45" spans="1:14" ht="15" hidden="1" customHeight="1" x14ac:dyDescent="0.25">
      <c r="A45" s="115" t="s">
        <v>317</v>
      </c>
      <c r="B45" s="190">
        <v>0</v>
      </c>
      <c r="C45" s="190">
        <v>0</v>
      </c>
      <c r="D45" s="190">
        <v>0</v>
      </c>
      <c r="E45" s="190">
        <v>0</v>
      </c>
      <c r="F45" s="190">
        <v>0</v>
      </c>
      <c r="G45" s="190">
        <v>0</v>
      </c>
      <c r="H45" s="190">
        <v>0</v>
      </c>
      <c r="I45" s="190">
        <v>0</v>
      </c>
      <c r="J45" s="190">
        <v>0</v>
      </c>
      <c r="K45" s="190">
        <v>0</v>
      </c>
      <c r="L45" s="190">
        <v>0</v>
      </c>
      <c r="M45" s="190">
        <v>0</v>
      </c>
      <c r="N45" s="117">
        <v>0</v>
      </c>
    </row>
    <row r="46" spans="1:14" ht="15" hidden="1" customHeight="1" x14ac:dyDescent="0.25">
      <c r="A46" s="115" t="s">
        <v>225</v>
      </c>
      <c r="B46" s="190" t="s">
        <v>524</v>
      </c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17"/>
    </row>
    <row r="47" spans="1:14" ht="15" hidden="1" customHeight="1" x14ac:dyDescent="0.25">
      <c r="A47" s="115" t="s">
        <v>402</v>
      </c>
      <c r="B47" s="190">
        <v>0</v>
      </c>
      <c r="C47" s="190">
        <v>0</v>
      </c>
      <c r="D47" s="190">
        <v>0</v>
      </c>
      <c r="E47" s="190">
        <v>0</v>
      </c>
      <c r="F47" s="190">
        <v>0</v>
      </c>
      <c r="G47" s="190">
        <v>0</v>
      </c>
      <c r="H47" s="190">
        <v>0</v>
      </c>
      <c r="I47" s="190">
        <v>0</v>
      </c>
      <c r="J47" s="190">
        <v>0</v>
      </c>
      <c r="K47" s="190">
        <v>0</v>
      </c>
      <c r="L47" s="190">
        <v>0</v>
      </c>
      <c r="M47" s="190">
        <v>0</v>
      </c>
      <c r="N47" s="117">
        <v>0</v>
      </c>
    </row>
    <row r="48" spans="1:14" ht="15" customHeight="1" x14ac:dyDescent="0.25">
      <c r="A48" s="63" t="s">
        <v>231</v>
      </c>
      <c r="B48" s="192">
        <v>22677.47</v>
      </c>
      <c r="C48" s="192">
        <v>2223.3000000000002</v>
      </c>
      <c r="D48" s="192">
        <v>2223.3000000000002</v>
      </c>
      <c r="E48" s="192">
        <v>2223.3000000000002</v>
      </c>
      <c r="F48" s="192">
        <v>2223.3000000000002</v>
      </c>
      <c r="G48" s="192">
        <v>2223.3000000000002</v>
      </c>
      <c r="H48" s="192">
        <v>2223.3000000000002</v>
      </c>
      <c r="I48" s="192">
        <v>2223.3000000000002</v>
      </c>
      <c r="J48" s="192">
        <v>2223.3000000000002</v>
      </c>
      <c r="K48" s="192">
        <v>2223.3000000000002</v>
      </c>
      <c r="L48" s="192">
        <v>2223.3000000000002</v>
      </c>
      <c r="M48" s="192">
        <v>2223.3000000000002</v>
      </c>
      <c r="N48" s="144">
        <v>2223.3000000000002</v>
      </c>
    </row>
    <row r="49" spans="1:14" ht="15" hidden="1" customHeight="1" x14ac:dyDescent="0.25">
      <c r="A49" s="115" t="s">
        <v>151</v>
      </c>
      <c r="B49" s="190" t="s">
        <v>524</v>
      </c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17"/>
    </row>
    <row r="50" spans="1:14" ht="15" customHeight="1" x14ac:dyDescent="0.25">
      <c r="A50" s="63" t="s">
        <v>245</v>
      </c>
      <c r="B50" s="192">
        <v>15076.19</v>
      </c>
      <c r="C50" s="192">
        <v>1478.1</v>
      </c>
      <c r="D50" s="192">
        <v>1478.1</v>
      </c>
      <c r="E50" s="192">
        <v>1478.1</v>
      </c>
      <c r="F50" s="192">
        <v>1478.1</v>
      </c>
      <c r="G50" s="192">
        <v>1478.1</v>
      </c>
      <c r="H50" s="192">
        <v>1478.1</v>
      </c>
      <c r="I50" s="192">
        <v>1478.1</v>
      </c>
      <c r="J50" s="192">
        <v>1478.1</v>
      </c>
      <c r="K50" s="192">
        <v>1478.1</v>
      </c>
      <c r="L50" s="192">
        <v>1478.1</v>
      </c>
      <c r="M50" s="192">
        <v>1478.1</v>
      </c>
      <c r="N50" s="144">
        <v>1478.1</v>
      </c>
    </row>
    <row r="51" spans="1:14" ht="15" hidden="1" customHeight="1" x14ac:dyDescent="0.25">
      <c r="A51" s="115" t="s">
        <v>463</v>
      </c>
      <c r="B51" s="190" t="s">
        <v>524</v>
      </c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17"/>
    </row>
    <row r="52" spans="1:14" ht="15" hidden="1" customHeight="1" x14ac:dyDescent="0.25">
      <c r="A52" s="115" t="s">
        <v>33</v>
      </c>
      <c r="B52" s="190" t="s">
        <v>524</v>
      </c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17"/>
    </row>
    <row r="53" spans="1:14" ht="15" hidden="1" customHeight="1" x14ac:dyDescent="0.25">
      <c r="A53" s="115" t="s">
        <v>66</v>
      </c>
      <c r="B53" s="190" t="s">
        <v>524</v>
      </c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17"/>
    </row>
    <row r="54" spans="1:14" ht="15" hidden="1" customHeight="1" x14ac:dyDescent="0.25">
      <c r="A54" s="115" t="s">
        <v>274</v>
      </c>
      <c r="B54" s="190">
        <v>0</v>
      </c>
      <c r="C54" s="190">
        <v>0</v>
      </c>
      <c r="D54" s="190">
        <v>0</v>
      </c>
      <c r="E54" s="190">
        <v>0</v>
      </c>
      <c r="F54" s="190">
        <v>0</v>
      </c>
      <c r="G54" s="190">
        <v>0</v>
      </c>
      <c r="H54" s="190">
        <v>0</v>
      </c>
      <c r="I54" s="190">
        <v>0</v>
      </c>
      <c r="J54" s="190">
        <v>0</v>
      </c>
      <c r="K54" s="190">
        <v>0</v>
      </c>
      <c r="L54" s="190">
        <v>0</v>
      </c>
      <c r="M54" s="190">
        <v>0</v>
      </c>
      <c r="N54" s="117">
        <v>0</v>
      </c>
    </row>
    <row r="55" spans="1:14" ht="15" hidden="1" customHeight="1" x14ac:dyDescent="0.25">
      <c r="A55" s="115" t="s">
        <v>187</v>
      </c>
      <c r="B55" s="190" t="s">
        <v>524</v>
      </c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17"/>
    </row>
    <row r="56" spans="1:14" ht="15" customHeight="1" x14ac:dyDescent="0.25">
      <c r="A56" s="194" t="s">
        <v>423</v>
      </c>
      <c r="B56" s="195">
        <v>15076.19</v>
      </c>
      <c r="C56" s="195">
        <v>1478.1</v>
      </c>
      <c r="D56" s="195">
        <v>1478.1</v>
      </c>
      <c r="E56" s="195">
        <v>1478.1</v>
      </c>
      <c r="F56" s="195">
        <v>1478.1</v>
      </c>
      <c r="G56" s="195">
        <v>1478.1</v>
      </c>
      <c r="H56" s="195">
        <v>1478.1</v>
      </c>
      <c r="I56" s="195">
        <v>1478.1</v>
      </c>
      <c r="J56" s="195">
        <v>1478.1</v>
      </c>
      <c r="K56" s="195">
        <v>1478.1</v>
      </c>
      <c r="L56" s="195">
        <v>1478.1</v>
      </c>
      <c r="M56" s="195">
        <v>1478.1</v>
      </c>
      <c r="N56" s="196">
        <v>1478.1</v>
      </c>
    </row>
    <row r="57" spans="1:14" ht="15" customHeight="1" x14ac:dyDescent="0.25">
      <c r="A57" s="63" t="s">
        <v>269</v>
      </c>
      <c r="B57" s="192">
        <v>15076.19</v>
      </c>
      <c r="C57" s="192">
        <v>1478.1</v>
      </c>
      <c r="D57" s="192">
        <v>1478.1</v>
      </c>
      <c r="E57" s="192">
        <v>1478.1</v>
      </c>
      <c r="F57" s="192">
        <v>1478.1</v>
      </c>
      <c r="G57" s="192">
        <v>1478.1</v>
      </c>
      <c r="H57" s="192">
        <v>1478.1</v>
      </c>
      <c r="I57" s="192">
        <v>1478.1</v>
      </c>
      <c r="J57" s="192">
        <v>1478.1</v>
      </c>
      <c r="K57" s="192">
        <v>1478.1</v>
      </c>
      <c r="L57" s="192">
        <v>1478.1</v>
      </c>
      <c r="M57" s="192">
        <v>1478.1</v>
      </c>
      <c r="N57" s="144">
        <v>1478.1</v>
      </c>
    </row>
    <row r="58" spans="1:14" ht="15" customHeight="1" x14ac:dyDescent="0.25">
      <c r="A58" s="63" t="s">
        <v>282</v>
      </c>
      <c r="B58" s="192">
        <v>20991.01</v>
      </c>
      <c r="C58" s="192">
        <v>2057.9</v>
      </c>
      <c r="D58" s="192">
        <v>2057.9</v>
      </c>
      <c r="E58" s="192">
        <v>2057.9</v>
      </c>
      <c r="F58" s="192">
        <v>2057.9</v>
      </c>
      <c r="G58" s="192">
        <v>2057.9</v>
      </c>
      <c r="H58" s="192">
        <v>2057.9</v>
      </c>
      <c r="I58" s="192">
        <v>2057.9</v>
      </c>
      <c r="J58" s="192">
        <v>2057.9</v>
      </c>
      <c r="K58" s="192">
        <v>2057.9</v>
      </c>
      <c r="L58" s="192">
        <v>2057.9</v>
      </c>
      <c r="M58" s="192">
        <v>2057.9</v>
      </c>
      <c r="N58" s="144">
        <v>2057.9</v>
      </c>
    </row>
    <row r="59" spans="1:14" ht="15" customHeight="1" x14ac:dyDescent="0.25">
      <c r="A59" s="194" t="s">
        <v>450</v>
      </c>
      <c r="B59" s="195">
        <v>2884.31</v>
      </c>
      <c r="C59" s="195">
        <v>282.8</v>
      </c>
      <c r="D59" s="195">
        <v>282.8</v>
      </c>
      <c r="E59" s="195">
        <v>282.8</v>
      </c>
      <c r="F59" s="195">
        <v>282.8</v>
      </c>
      <c r="G59" s="195">
        <v>282.8</v>
      </c>
      <c r="H59" s="195">
        <v>282.8</v>
      </c>
      <c r="I59" s="195">
        <v>282.8</v>
      </c>
      <c r="J59" s="195">
        <v>282.8</v>
      </c>
      <c r="K59" s="195">
        <v>282.8</v>
      </c>
      <c r="L59" s="195">
        <v>282.8</v>
      </c>
      <c r="M59" s="195">
        <v>282.8</v>
      </c>
      <c r="N59" s="196">
        <v>282.8</v>
      </c>
    </row>
    <row r="60" spans="1:14" ht="15" customHeight="1" x14ac:dyDescent="0.25">
      <c r="A60" s="194" t="s">
        <v>452</v>
      </c>
      <c r="B60" s="195">
        <v>2884.31</v>
      </c>
      <c r="C60" s="195">
        <v>282.8</v>
      </c>
      <c r="D60" s="195">
        <v>282.8</v>
      </c>
      <c r="E60" s="195">
        <v>282.8</v>
      </c>
      <c r="F60" s="195">
        <v>282.8</v>
      </c>
      <c r="G60" s="195">
        <v>282.8</v>
      </c>
      <c r="H60" s="195">
        <v>282.8</v>
      </c>
      <c r="I60" s="195">
        <v>282.8</v>
      </c>
      <c r="J60" s="195">
        <v>282.8</v>
      </c>
      <c r="K60" s="195">
        <v>282.8</v>
      </c>
      <c r="L60" s="195">
        <v>282.8</v>
      </c>
      <c r="M60" s="195">
        <v>282.8</v>
      </c>
      <c r="N60" s="196">
        <v>282.8</v>
      </c>
    </row>
    <row r="61" spans="1:14" ht="15" customHeight="1" x14ac:dyDescent="0.25">
      <c r="A61" s="63" t="s">
        <v>285</v>
      </c>
      <c r="B61" s="192">
        <v>18668.03</v>
      </c>
      <c r="C61" s="192">
        <v>1830.2</v>
      </c>
      <c r="D61" s="192">
        <v>1830.2</v>
      </c>
      <c r="E61" s="192">
        <v>1830.2</v>
      </c>
      <c r="F61" s="192">
        <v>1830.2</v>
      </c>
      <c r="G61" s="192">
        <v>1830.2</v>
      </c>
      <c r="H61" s="192">
        <v>1830.2</v>
      </c>
      <c r="I61" s="192">
        <v>1830.2</v>
      </c>
      <c r="J61" s="192">
        <v>1830.2</v>
      </c>
      <c r="K61" s="192">
        <v>1830.2</v>
      </c>
      <c r="L61" s="192">
        <v>1830.2</v>
      </c>
      <c r="M61" s="192">
        <v>1830.2</v>
      </c>
      <c r="N61" s="144">
        <v>1830.2</v>
      </c>
    </row>
    <row r="62" spans="1:14" ht="15" customHeight="1" x14ac:dyDescent="0.25">
      <c r="A62" s="62" t="s">
        <v>283</v>
      </c>
      <c r="B62" s="193">
        <v>6860.67</v>
      </c>
      <c r="C62" s="193">
        <v>672.6</v>
      </c>
      <c r="D62" s="193">
        <v>672.6</v>
      </c>
      <c r="E62" s="193">
        <v>672.6</v>
      </c>
      <c r="F62" s="193">
        <v>672.6</v>
      </c>
      <c r="G62" s="193">
        <v>672.6</v>
      </c>
      <c r="H62" s="193">
        <v>672.6</v>
      </c>
      <c r="I62" s="193">
        <v>672.6</v>
      </c>
      <c r="J62" s="193">
        <v>672.6</v>
      </c>
      <c r="K62" s="193">
        <v>672.6</v>
      </c>
      <c r="L62" s="193">
        <v>672.6</v>
      </c>
      <c r="M62" s="193">
        <v>672.6</v>
      </c>
      <c r="N62" s="143">
        <v>672.6</v>
      </c>
    </row>
    <row r="63" spans="1:14" ht="15" customHeight="1" x14ac:dyDescent="0.25">
      <c r="A63" s="62" t="s">
        <v>258</v>
      </c>
      <c r="B63" s="193">
        <v>6860.67</v>
      </c>
      <c r="C63" s="193">
        <v>672.6</v>
      </c>
      <c r="D63" s="193">
        <v>672.6</v>
      </c>
      <c r="E63" s="193">
        <v>672.6</v>
      </c>
      <c r="F63" s="193">
        <v>672.6</v>
      </c>
      <c r="G63" s="193">
        <v>672.6</v>
      </c>
      <c r="H63" s="193">
        <v>672.6</v>
      </c>
      <c r="I63" s="193">
        <v>672.6</v>
      </c>
      <c r="J63" s="193">
        <v>672.6</v>
      </c>
      <c r="K63" s="193">
        <v>672.6</v>
      </c>
      <c r="L63" s="193">
        <v>672.6</v>
      </c>
      <c r="M63" s="193">
        <v>672.6</v>
      </c>
      <c r="N63" s="143">
        <v>672.6</v>
      </c>
    </row>
    <row r="64" spans="1:14" ht="15" customHeight="1" x14ac:dyDescent="0.25">
      <c r="A64" s="62" t="s">
        <v>155</v>
      </c>
      <c r="B64" s="193">
        <v>6860.67</v>
      </c>
      <c r="C64" s="193">
        <v>672.6</v>
      </c>
      <c r="D64" s="193">
        <v>672.6</v>
      </c>
      <c r="E64" s="193">
        <v>672.6</v>
      </c>
      <c r="F64" s="193">
        <v>672.6</v>
      </c>
      <c r="G64" s="193">
        <v>672.6</v>
      </c>
      <c r="H64" s="193">
        <v>672.6</v>
      </c>
      <c r="I64" s="193">
        <v>672.6</v>
      </c>
      <c r="J64" s="193">
        <v>672.6</v>
      </c>
      <c r="K64" s="193">
        <v>672.6</v>
      </c>
      <c r="L64" s="193">
        <v>672.6</v>
      </c>
      <c r="M64" s="193">
        <v>672.6</v>
      </c>
      <c r="N64" s="143">
        <v>672.6</v>
      </c>
    </row>
    <row r="65" spans="1:14" ht="15" customHeight="1" x14ac:dyDescent="0.25">
      <c r="A65" s="63" t="s">
        <v>288</v>
      </c>
      <c r="B65" s="192">
        <v>19364.36</v>
      </c>
      <c r="C65" s="192">
        <v>1898.5</v>
      </c>
      <c r="D65" s="192">
        <v>1898.5</v>
      </c>
      <c r="E65" s="192">
        <v>1898.5</v>
      </c>
      <c r="F65" s="192">
        <v>1898.5</v>
      </c>
      <c r="G65" s="192">
        <v>1898.5</v>
      </c>
      <c r="H65" s="192">
        <v>1898.5</v>
      </c>
      <c r="I65" s="192">
        <v>1898.5</v>
      </c>
      <c r="J65" s="192">
        <v>1898.5</v>
      </c>
      <c r="K65" s="192">
        <v>1898.5</v>
      </c>
      <c r="L65" s="192">
        <v>1898.5</v>
      </c>
      <c r="M65" s="192">
        <v>1898.5</v>
      </c>
      <c r="N65" s="144">
        <v>1898.5</v>
      </c>
    </row>
    <row r="66" spans="1:14" ht="15" customHeight="1" x14ac:dyDescent="0.25">
      <c r="A66" s="62" t="s">
        <v>232</v>
      </c>
      <c r="B66" s="193">
        <v>6860.67</v>
      </c>
      <c r="C66" s="193">
        <v>672.6</v>
      </c>
      <c r="D66" s="193">
        <v>672.6</v>
      </c>
      <c r="E66" s="193">
        <v>672.6</v>
      </c>
      <c r="F66" s="193">
        <v>672.6</v>
      </c>
      <c r="G66" s="193">
        <v>672.6</v>
      </c>
      <c r="H66" s="193">
        <v>672.6</v>
      </c>
      <c r="I66" s="193">
        <v>672.6</v>
      </c>
      <c r="J66" s="193">
        <v>672.6</v>
      </c>
      <c r="K66" s="193">
        <v>672.6</v>
      </c>
      <c r="L66" s="193">
        <v>672.6</v>
      </c>
      <c r="M66" s="193">
        <v>672.6</v>
      </c>
      <c r="N66" s="143">
        <v>672.6</v>
      </c>
    </row>
    <row r="67" spans="1:14" ht="15" customHeight="1" x14ac:dyDescent="0.25">
      <c r="A67" s="197" t="s">
        <v>405</v>
      </c>
      <c r="B67" s="198">
        <v>2100.12</v>
      </c>
      <c r="C67" s="198">
        <v>205.9</v>
      </c>
      <c r="D67" s="198">
        <v>205.9</v>
      </c>
      <c r="E67" s="198">
        <v>205.9</v>
      </c>
      <c r="F67" s="198">
        <v>205.9</v>
      </c>
      <c r="G67" s="198">
        <v>205.9</v>
      </c>
      <c r="H67" s="198">
        <v>205.9</v>
      </c>
      <c r="I67" s="198">
        <v>205.9</v>
      </c>
      <c r="J67" s="198">
        <v>205.9</v>
      </c>
      <c r="K67" s="198">
        <v>205.9</v>
      </c>
      <c r="L67" s="198">
        <v>205.9</v>
      </c>
      <c r="M67" s="198">
        <v>205.9</v>
      </c>
      <c r="N67" s="199">
        <v>205.9</v>
      </c>
    </row>
    <row r="68" spans="1:14" ht="15" customHeight="1" x14ac:dyDescent="0.25">
      <c r="A68" s="63" t="s">
        <v>302</v>
      </c>
      <c r="B68" s="192">
        <v>27210.57</v>
      </c>
      <c r="C68" s="192">
        <v>2667.7</v>
      </c>
      <c r="D68" s="192">
        <v>2667.7</v>
      </c>
      <c r="E68" s="192">
        <v>2667.7</v>
      </c>
      <c r="F68" s="192">
        <v>2667.7</v>
      </c>
      <c r="G68" s="192">
        <v>2667.7</v>
      </c>
      <c r="H68" s="192">
        <v>2667.7</v>
      </c>
      <c r="I68" s="192">
        <v>2667.7</v>
      </c>
      <c r="J68" s="192">
        <v>2667.7</v>
      </c>
      <c r="K68" s="192">
        <v>2667.7</v>
      </c>
      <c r="L68" s="192">
        <v>2667.7</v>
      </c>
      <c r="M68" s="192">
        <v>2667.7</v>
      </c>
      <c r="N68" s="144">
        <v>2667.7</v>
      </c>
    </row>
    <row r="69" spans="1:14" ht="15" customHeight="1" x14ac:dyDescent="0.25">
      <c r="A69" s="62" t="s">
        <v>134</v>
      </c>
      <c r="B69" s="193">
        <v>12071.72</v>
      </c>
      <c r="C69" s="193">
        <v>1183.5</v>
      </c>
      <c r="D69" s="193">
        <v>1183.5</v>
      </c>
      <c r="E69" s="193">
        <v>1183.5</v>
      </c>
      <c r="F69" s="193">
        <v>1183.5</v>
      </c>
      <c r="G69" s="193">
        <v>1183.5</v>
      </c>
      <c r="H69" s="193">
        <v>1183.5</v>
      </c>
      <c r="I69" s="193">
        <v>1183.5</v>
      </c>
      <c r="J69" s="193">
        <v>1183.5</v>
      </c>
      <c r="K69" s="193">
        <v>1183.5</v>
      </c>
      <c r="L69" s="193">
        <v>1183.5</v>
      </c>
      <c r="M69" s="193">
        <v>1183.5</v>
      </c>
      <c r="N69" s="143">
        <v>1183.5</v>
      </c>
    </row>
    <row r="70" spans="1:14" ht="15" customHeight="1" x14ac:dyDescent="0.25">
      <c r="A70" s="62" t="s">
        <v>204</v>
      </c>
      <c r="B70" s="193">
        <v>12071.72</v>
      </c>
      <c r="C70" s="193">
        <v>1183.5</v>
      </c>
      <c r="D70" s="193">
        <v>1183.5</v>
      </c>
      <c r="E70" s="193">
        <v>1183.5</v>
      </c>
      <c r="F70" s="193">
        <v>1183.5</v>
      </c>
      <c r="G70" s="193">
        <v>1183.5</v>
      </c>
      <c r="H70" s="193">
        <v>1183.5</v>
      </c>
      <c r="I70" s="193">
        <v>1183.5</v>
      </c>
      <c r="J70" s="193">
        <v>1183.5</v>
      </c>
      <c r="K70" s="193">
        <v>1183.5</v>
      </c>
      <c r="L70" s="193">
        <v>1183.5</v>
      </c>
      <c r="M70" s="193">
        <v>1183.5</v>
      </c>
      <c r="N70" s="143">
        <v>1183.5</v>
      </c>
    </row>
    <row r="71" spans="1:14" ht="15" customHeight="1" x14ac:dyDescent="0.25">
      <c r="A71" s="63" t="s">
        <v>316</v>
      </c>
      <c r="B71" s="192">
        <v>20130.36</v>
      </c>
      <c r="C71" s="192">
        <v>1973.6</v>
      </c>
      <c r="D71" s="192">
        <v>1973.6</v>
      </c>
      <c r="E71" s="192">
        <v>1973.6</v>
      </c>
      <c r="F71" s="192">
        <v>1973.6</v>
      </c>
      <c r="G71" s="192">
        <v>1973.6</v>
      </c>
      <c r="H71" s="192">
        <v>1973.6</v>
      </c>
      <c r="I71" s="192">
        <v>1973.6</v>
      </c>
      <c r="J71" s="192">
        <v>1973.6</v>
      </c>
      <c r="K71" s="192">
        <v>1973.6</v>
      </c>
      <c r="L71" s="192">
        <v>1973.6</v>
      </c>
      <c r="M71" s="192">
        <v>1973.6</v>
      </c>
      <c r="N71" s="144">
        <v>1973.6</v>
      </c>
    </row>
    <row r="72" spans="1:14" ht="15" customHeight="1" x14ac:dyDescent="0.25">
      <c r="A72" s="62" t="s">
        <v>300</v>
      </c>
      <c r="B72" s="193">
        <v>12071.72</v>
      </c>
      <c r="C72" s="193">
        <v>1183.5</v>
      </c>
      <c r="D72" s="193">
        <v>1183.5</v>
      </c>
      <c r="E72" s="193">
        <v>1183.5</v>
      </c>
      <c r="F72" s="193">
        <v>1183.5</v>
      </c>
      <c r="G72" s="193">
        <v>1183.5</v>
      </c>
      <c r="H72" s="193">
        <v>1183.5</v>
      </c>
      <c r="I72" s="193">
        <v>1183.5</v>
      </c>
      <c r="J72" s="193">
        <v>1183.5</v>
      </c>
      <c r="K72" s="193">
        <v>1183.5</v>
      </c>
      <c r="L72" s="193">
        <v>1183.5</v>
      </c>
      <c r="M72" s="193">
        <v>1183.5</v>
      </c>
      <c r="N72" s="143">
        <v>1183.5</v>
      </c>
    </row>
    <row r="73" spans="1:14" ht="15" customHeight="1" x14ac:dyDescent="0.25">
      <c r="A73" s="63" t="s">
        <v>319</v>
      </c>
      <c r="B73" s="192">
        <v>20130.36</v>
      </c>
      <c r="C73" s="192">
        <v>1973.6</v>
      </c>
      <c r="D73" s="192">
        <v>1973.6</v>
      </c>
      <c r="E73" s="192">
        <v>1973.6</v>
      </c>
      <c r="F73" s="192">
        <v>1973.6</v>
      </c>
      <c r="G73" s="192">
        <v>1973.6</v>
      </c>
      <c r="H73" s="192">
        <v>1973.6</v>
      </c>
      <c r="I73" s="192">
        <v>1973.6</v>
      </c>
      <c r="J73" s="192">
        <v>1973.6</v>
      </c>
      <c r="K73" s="192">
        <v>1973.6</v>
      </c>
      <c r="L73" s="192">
        <v>1973.6</v>
      </c>
      <c r="M73" s="192">
        <v>1973.6</v>
      </c>
      <c r="N73" s="144">
        <v>1973.6</v>
      </c>
    </row>
    <row r="74" spans="1:14" ht="15" customHeight="1" x14ac:dyDescent="0.25">
      <c r="A74" s="62" t="s">
        <v>313</v>
      </c>
      <c r="B74" s="193">
        <v>8386.35</v>
      </c>
      <c r="C74" s="193">
        <v>822.2</v>
      </c>
      <c r="D74" s="193">
        <v>822.2</v>
      </c>
      <c r="E74" s="193">
        <v>822.2</v>
      </c>
      <c r="F74" s="193">
        <v>822.2</v>
      </c>
      <c r="G74" s="193">
        <v>822.2</v>
      </c>
      <c r="H74" s="193">
        <v>822.2</v>
      </c>
      <c r="I74" s="193">
        <v>822.2</v>
      </c>
      <c r="J74" s="193">
        <v>822.2</v>
      </c>
      <c r="K74" s="193">
        <v>822.2</v>
      </c>
      <c r="L74" s="193">
        <v>822.2</v>
      </c>
      <c r="M74" s="193">
        <v>822.2</v>
      </c>
      <c r="N74" s="143">
        <v>822.2</v>
      </c>
    </row>
    <row r="75" spans="1:14" ht="15" customHeight="1" x14ac:dyDescent="0.25">
      <c r="A75" s="62" t="s">
        <v>161</v>
      </c>
      <c r="B75" s="193">
        <v>12071.72</v>
      </c>
      <c r="C75" s="193">
        <v>1183.5</v>
      </c>
      <c r="D75" s="193">
        <v>1183.5</v>
      </c>
      <c r="E75" s="193">
        <v>1183.5</v>
      </c>
      <c r="F75" s="193">
        <v>1183.5</v>
      </c>
      <c r="G75" s="193">
        <v>1183.5</v>
      </c>
      <c r="H75" s="193">
        <v>1183.5</v>
      </c>
      <c r="I75" s="193">
        <v>1183.5</v>
      </c>
      <c r="J75" s="193">
        <v>1183.5</v>
      </c>
      <c r="K75" s="193">
        <v>1183.5</v>
      </c>
      <c r="L75" s="193">
        <v>1183.5</v>
      </c>
      <c r="M75" s="193">
        <v>1183.5</v>
      </c>
      <c r="N75" s="143">
        <v>1183.5</v>
      </c>
    </row>
    <row r="76" spans="1:14" ht="15" customHeight="1" x14ac:dyDescent="0.25">
      <c r="A76" s="62" t="s">
        <v>55</v>
      </c>
      <c r="B76" s="193">
        <v>12071.72</v>
      </c>
      <c r="C76" s="193">
        <v>1183.5</v>
      </c>
      <c r="D76" s="193">
        <v>1183.5</v>
      </c>
      <c r="E76" s="193">
        <v>1183.5</v>
      </c>
      <c r="F76" s="193">
        <v>1183.5</v>
      </c>
      <c r="G76" s="193">
        <v>1183.5</v>
      </c>
      <c r="H76" s="193">
        <v>1183.5</v>
      </c>
      <c r="I76" s="193">
        <v>1183.5</v>
      </c>
      <c r="J76" s="193">
        <v>1183.5</v>
      </c>
      <c r="K76" s="193">
        <v>1183.5</v>
      </c>
      <c r="L76" s="193">
        <v>1183.5</v>
      </c>
      <c r="M76" s="193">
        <v>1183.5</v>
      </c>
      <c r="N76" s="143">
        <v>1183.5</v>
      </c>
    </row>
    <row r="77" spans="1:14" ht="15" customHeight="1" x14ac:dyDescent="0.25">
      <c r="A77" s="62" t="s">
        <v>100</v>
      </c>
      <c r="B77" s="193">
        <v>16324.15</v>
      </c>
      <c r="C77" s="193">
        <v>1600.4</v>
      </c>
      <c r="D77" s="193">
        <v>1600.4</v>
      </c>
      <c r="E77" s="193">
        <v>1600.4</v>
      </c>
      <c r="F77" s="193">
        <v>1600.4</v>
      </c>
      <c r="G77" s="193">
        <v>1600.4</v>
      </c>
      <c r="H77" s="193">
        <v>1600.4</v>
      </c>
      <c r="I77" s="193">
        <v>1600.4</v>
      </c>
      <c r="J77" s="193">
        <v>1600.4</v>
      </c>
      <c r="K77" s="193">
        <v>1600.4</v>
      </c>
      <c r="L77" s="193">
        <v>1600.4</v>
      </c>
      <c r="M77" s="193">
        <v>1600.4</v>
      </c>
      <c r="N77" s="143">
        <v>1600.4</v>
      </c>
    </row>
    <row r="78" spans="1:14" ht="15" customHeight="1" x14ac:dyDescent="0.25">
      <c r="A78" s="179" t="s">
        <v>507</v>
      </c>
      <c r="B78" s="180">
        <f>SUM(B5:B77)</f>
        <v>638679.34999999986</v>
      </c>
      <c r="C78" s="180">
        <f>SUM(C5:C77)</f>
        <v>62615.69999999999</v>
      </c>
      <c r="D78" s="180">
        <f t="shared" ref="D78:M78" si="0">SUM(D5:D77)</f>
        <v>62615.69999999999</v>
      </c>
      <c r="E78" s="180">
        <f t="shared" si="0"/>
        <v>62615.69999999999</v>
      </c>
      <c r="F78" s="180">
        <f t="shared" si="0"/>
        <v>64677.499999999993</v>
      </c>
      <c r="G78" s="180">
        <f t="shared" si="0"/>
        <v>64677.499999999993</v>
      </c>
      <c r="H78" s="180">
        <f t="shared" si="0"/>
        <v>64677.499999999993</v>
      </c>
      <c r="I78" s="180">
        <f t="shared" si="0"/>
        <v>64677.499999999993</v>
      </c>
      <c r="J78" s="180">
        <f t="shared" si="0"/>
        <v>64677.499999999993</v>
      </c>
      <c r="K78" s="180">
        <f t="shared" si="0"/>
        <v>64677.499999999993</v>
      </c>
      <c r="L78" s="180">
        <f t="shared" si="0"/>
        <v>64677.499999999993</v>
      </c>
      <c r="M78" s="180">
        <f t="shared" si="0"/>
        <v>64677.499999999993</v>
      </c>
      <c r="N78" s="26">
        <f>SUM(N5:N77)</f>
        <v>64677.499999999993</v>
      </c>
    </row>
    <row r="79" spans="1:14" hidden="1" x14ac:dyDescent="0.25">
      <c r="C79" s="696">
        <f>+C78+D78+E78+F78+G78+H78+I78+J78+K78+L78+M78+N78</f>
        <v>769944.6</v>
      </c>
      <c r="D79" s="697"/>
      <c r="E79" s="697"/>
      <c r="F79" s="697"/>
      <c r="G79" s="697"/>
      <c r="H79" s="697"/>
      <c r="I79" s="697"/>
      <c r="J79" s="697"/>
      <c r="K79" s="697"/>
      <c r="L79" s="697"/>
      <c r="M79" s="697"/>
      <c r="N79" s="698"/>
    </row>
    <row r="80" spans="1:14" hidden="1" x14ac:dyDescent="0.25">
      <c r="C80" s="699">
        <f>+C79/B78-1</f>
        <v>0.20552605935983381</v>
      </c>
      <c r="D80" s="699"/>
      <c r="E80" s="699"/>
      <c r="F80" s="699"/>
      <c r="G80" s="699"/>
      <c r="H80" s="699"/>
      <c r="I80" s="699"/>
      <c r="J80" s="699"/>
      <c r="K80" s="699"/>
      <c r="L80" s="699"/>
      <c r="M80" s="699"/>
      <c r="N80" s="699"/>
    </row>
    <row r="81" spans="3:13" x14ac:dyDescent="0.25">
      <c r="C81" s="191"/>
    </row>
    <row r="82" spans="3:13" x14ac:dyDescent="0.25">
      <c r="D82" s="191"/>
      <c r="E82" s="191"/>
      <c r="H82" s="191"/>
      <c r="I82" s="191"/>
      <c r="L82" s="191"/>
      <c r="M82" s="191"/>
    </row>
    <row r="83" spans="3:13" x14ac:dyDescent="0.25">
      <c r="E83" s="191"/>
      <c r="I83" s="191"/>
      <c r="M83" s="191"/>
    </row>
    <row r="84" spans="3:13" x14ac:dyDescent="0.25">
      <c r="F84" s="191"/>
      <c r="J84" s="191"/>
    </row>
    <row r="86" spans="3:13" x14ac:dyDescent="0.25">
      <c r="F86" s="191"/>
      <c r="J86" s="191"/>
    </row>
  </sheetData>
  <autoFilter ref="A4:N4" xr:uid="{00000000-0009-0000-0000-000037000000}"/>
  <sortState xmlns:xlrd2="http://schemas.microsoft.com/office/spreadsheetml/2017/richdata2" ref="A5:N77">
    <sortCondition ref="A5:A77"/>
  </sortState>
  <mergeCells count="7">
    <mergeCell ref="C79:N79"/>
    <mergeCell ref="C80:N80"/>
    <mergeCell ref="A1:N2"/>
    <mergeCell ref="P4:Q4"/>
    <mergeCell ref="P6:Q6"/>
    <mergeCell ref="P8:Q8"/>
    <mergeCell ref="P10:Q10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V33"/>
  <sheetViews>
    <sheetView topLeftCell="A16" zoomScaleNormal="100" workbookViewId="0">
      <selection activeCell="G19" sqref="G19"/>
    </sheetView>
  </sheetViews>
  <sheetFormatPr baseColWidth="10" defaultRowHeight="15" x14ac:dyDescent="0.25"/>
  <cols>
    <col min="1" max="1" width="14.42578125" style="429" bestFit="1" customWidth="1"/>
    <col min="2" max="2" width="13" style="429" bestFit="1" customWidth="1"/>
    <col min="3" max="3" width="24.140625" style="429" bestFit="1" customWidth="1"/>
    <col min="4" max="4" width="14.42578125" style="429" bestFit="1" customWidth="1"/>
    <col min="5" max="5" width="41" style="429" bestFit="1" customWidth="1"/>
    <col min="6" max="7" width="42.42578125" style="429" bestFit="1" customWidth="1"/>
    <col min="8" max="8" width="20.140625" style="429" bestFit="1" customWidth="1"/>
    <col min="9" max="9" width="23.140625" style="429" bestFit="1" customWidth="1"/>
    <col min="10" max="10" width="8.85546875" style="429" bestFit="1" customWidth="1"/>
    <col min="11" max="11" width="9.28515625" style="429" bestFit="1" customWidth="1"/>
    <col min="12" max="12" width="10.140625" style="429" bestFit="1" customWidth="1"/>
    <col min="13" max="13" width="21.7109375" style="429" bestFit="1" customWidth="1"/>
    <col min="14" max="14" width="18.28515625" style="429" bestFit="1" customWidth="1"/>
    <col min="15" max="15" width="13" style="451" bestFit="1" customWidth="1"/>
    <col min="16" max="16" width="19.42578125" style="452" bestFit="1" customWidth="1"/>
    <col min="17" max="17" width="9.42578125" style="451" bestFit="1" customWidth="1"/>
    <col min="18" max="18" width="11.42578125" style="429"/>
    <col min="19" max="16384" width="11.42578125" style="410"/>
  </cols>
  <sheetData>
    <row r="1" spans="1:22" x14ac:dyDescent="0.25">
      <c r="A1" s="708" t="s">
        <v>321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</row>
    <row r="2" spans="1:22" x14ac:dyDescent="0.25">
      <c r="A2" s="708"/>
      <c r="B2" s="708"/>
      <c r="C2" s="708"/>
      <c r="D2" s="708"/>
      <c r="E2" s="708"/>
      <c r="F2" s="708"/>
      <c r="G2" s="708"/>
      <c r="H2" s="708"/>
      <c r="I2" s="708"/>
      <c r="J2" s="708"/>
      <c r="K2" s="708"/>
      <c r="L2" s="708"/>
      <c r="M2" s="708"/>
      <c r="N2" s="708"/>
      <c r="O2" s="708"/>
      <c r="P2" s="708"/>
      <c r="Q2" s="708"/>
    </row>
    <row r="3" spans="1:22" x14ac:dyDescent="0.25">
      <c r="A3" s="430" t="s">
        <v>13</v>
      </c>
      <c r="B3" s="430" t="s">
        <v>14</v>
      </c>
      <c r="C3" s="430" t="s">
        <v>15</v>
      </c>
      <c r="D3" s="430" t="s">
        <v>16</v>
      </c>
      <c r="E3" s="430" t="s">
        <v>17</v>
      </c>
      <c r="F3" s="430" t="s">
        <v>18</v>
      </c>
      <c r="G3" s="430" t="s">
        <v>19</v>
      </c>
      <c r="H3" s="430" t="s">
        <v>20</v>
      </c>
      <c r="I3" s="430" t="s">
        <v>21</v>
      </c>
      <c r="J3" s="430" t="s">
        <v>22</v>
      </c>
      <c r="K3" s="430" t="s">
        <v>23</v>
      </c>
      <c r="L3" s="430" t="s">
        <v>24</v>
      </c>
      <c r="M3" s="430" t="s">
        <v>25</v>
      </c>
      <c r="N3" s="430" t="s">
        <v>26</v>
      </c>
      <c r="O3" s="431" t="s">
        <v>27</v>
      </c>
      <c r="P3" s="432" t="s">
        <v>28</v>
      </c>
      <c r="Q3" s="411" t="s">
        <v>320</v>
      </c>
      <c r="R3" s="410"/>
    </row>
    <row r="4" spans="1:22" ht="25.5" customHeight="1" x14ac:dyDescent="0.25">
      <c r="A4" s="433">
        <v>44475</v>
      </c>
      <c r="B4" s="434">
        <v>2816610</v>
      </c>
      <c r="C4" s="434" t="s">
        <v>9</v>
      </c>
      <c r="D4" s="435">
        <v>0</v>
      </c>
      <c r="E4" s="434"/>
      <c r="F4" s="434" t="s">
        <v>2</v>
      </c>
      <c r="G4" s="434" t="s">
        <v>46</v>
      </c>
      <c r="H4" s="434" t="s">
        <v>97</v>
      </c>
      <c r="I4" s="434" t="s">
        <v>98</v>
      </c>
      <c r="J4" s="434" t="s">
        <v>99</v>
      </c>
      <c r="K4" s="434" t="s">
        <v>100</v>
      </c>
      <c r="L4" s="434">
        <v>450</v>
      </c>
      <c r="M4" s="434">
        <v>0</v>
      </c>
      <c r="N4" s="434" t="s">
        <v>10</v>
      </c>
      <c r="O4" s="435">
        <v>0</v>
      </c>
      <c r="P4" s="436">
        <v>0</v>
      </c>
      <c r="Q4" s="413">
        <v>0</v>
      </c>
      <c r="R4" s="410"/>
    </row>
    <row r="5" spans="1:22" ht="25.5" customHeight="1" x14ac:dyDescent="0.25">
      <c r="A5" s="109">
        <v>44477</v>
      </c>
      <c r="B5" s="110">
        <v>2010635388</v>
      </c>
      <c r="C5" s="110" t="s">
        <v>0</v>
      </c>
      <c r="D5" s="111">
        <v>125108.71</v>
      </c>
      <c r="E5" s="110" t="s">
        <v>34</v>
      </c>
      <c r="F5" s="110" t="s">
        <v>2</v>
      </c>
      <c r="G5" s="110" t="s">
        <v>12</v>
      </c>
      <c r="H5" s="110" t="s">
        <v>97</v>
      </c>
      <c r="I5" s="110" t="s">
        <v>98</v>
      </c>
      <c r="J5" s="110" t="s">
        <v>99</v>
      </c>
      <c r="K5" s="110" t="s">
        <v>100</v>
      </c>
      <c r="L5" s="110">
        <v>740</v>
      </c>
      <c r="M5" s="110">
        <v>29950</v>
      </c>
      <c r="N5" s="110" t="s">
        <v>8</v>
      </c>
      <c r="O5" s="702">
        <v>38408.373970000001</v>
      </c>
      <c r="P5" s="701">
        <f>O5/D5*100</f>
        <v>30.7</v>
      </c>
      <c r="Q5" s="700">
        <f>D5/(L5+L6)</f>
        <v>84.532912162162162</v>
      </c>
      <c r="R5" s="410"/>
      <c r="T5" s="414"/>
      <c r="U5" s="415"/>
      <c r="V5" s="416"/>
    </row>
    <row r="6" spans="1:22" ht="25.5" customHeight="1" x14ac:dyDescent="0.25">
      <c r="A6" s="109">
        <v>44477</v>
      </c>
      <c r="B6" s="110">
        <v>2816815</v>
      </c>
      <c r="C6" s="110" t="s">
        <v>9</v>
      </c>
      <c r="D6" s="111">
        <v>0</v>
      </c>
      <c r="E6" s="110"/>
      <c r="F6" s="110" t="s">
        <v>12</v>
      </c>
      <c r="G6" s="110" t="s">
        <v>2</v>
      </c>
      <c r="H6" s="110" t="s">
        <v>97</v>
      </c>
      <c r="I6" s="110" t="s">
        <v>98</v>
      </c>
      <c r="J6" s="110" t="s">
        <v>99</v>
      </c>
      <c r="K6" s="110" t="s">
        <v>100</v>
      </c>
      <c r="L6" s="110">
        <v>740</v>
      </c>
      <c r="M6" s="110">
        <v>0</v>
      </c>
      <c r="N6" s="110" t="s">
        <v>10</v>
      </c>
      <c r="O6" s="703"/>
      <c r="P6" s="701"/>
      <c r="Q6" s="700"/>
      <c r="R6" s="417">
        <f>438/(L5+L6)*100</f>
        <v>29.594594594594593</v>
      </c>
      <c r="T6" s="414"/>
      <c r="U6" s="415"/>
      <c r="V6" s="416"/>
    </row>
    <row r="7" spans="1:22" ht="25.5" customHeight="1" x14ac:dyDescent="0.25">
      <c r="A7" s="438">
        <v>44480</v>
      </c>
      <c r="B7" s="439">
        <v>2010656246</v>
      </c>
      <c r="C7" s="439" t="s">
        <v>0</v>
      </c>
      <c r="D7" s="440">
        <v>149057.13</v>
      </c>
      <c r="E7" s="439" t="s">
        <v>36</v>
      </c>
      <c r="F7" s="439" t="s">
        <v>2</v>
      </c>
      <c r="G7" s="439" t="s">
        <v>42</v>
      </c>
      <c r="H7" s="439" t="s">
        <v>97</v>
      </c>
      <c r="I7" s="439" t="s">
        <v>98</v>
      </c>
      <c r="J7" s="439" t="s">
        <v>99</v>
      </c>
      <c r="K7" s="439" t="s">
        <v>100</v>
      </c>
      <c r="L7" s="439">
        <v>879</v>
      </c>
      <c r="M7" s="439">
        <v>29810</v>
      </c>
      <c r="N7" s="439" t="s">
        <v>8</v>
      </c>
      <c r="O7" s="713">
        <v>45760.538910000003</v>
      </c>
      <c r="P7" s="712">
        <f>O7/D7*100</f>
        <v>30.7</v>
      </c>
      <c r="Q7" s="711">
        <f>D7/(L7+L8)</f>
        <v>84.787901023890782</v>
      </c>
      <c r="R7" s="417"/>
      <c r="T7" s="414"/>
      <c r="U7" s="415"/>
      <c r="V7" s="416"/>
    </row>
    <row r="8" spans="1:22" ht="25.5" customHeight="1" x14ac:dyDescent="0.25">
      <c r="A8" s="438">
        <v>44482</v>
      </c>
      <c r="B8" s="439">
        <v>2816794</v>
      </c>
      <c r="C8" s="439" t="s">
        <v>9</v>
      </c>
      <c r="D8" s="440">
        <v>0</v>
      </c>
      <c r="E8" s="439"/>
      <c r="F8" s="439" t="s">
        <v>42</v>
      </c>
      <c r="G8" s="439" t="s">
        <v>2</v>
      </c>
      <c r="H8" s="439" t="s">
        <v>97</v>
      </c>
      <c r="I8" s="439" t="s">
        <v>98</v>
      </c>
      <c r="J8" s="439" t="s">
        <v>99</v>
      </c>
      <c r="K8" s="439" t="s">
        <v>100</v>
      </c>
      <c r="L8" s="439">
        <v>879</v>
      </c>
      <c r="M8" s="439">
        <v>0</v>
      </c>
      <c r="N8" s="439" t="s">
        <v>10</v>
      </c>
      <c r="O8" s="714"/>
      <c r="P8" s="712"/>
      <c r="Q8" s="711"/>
      <c r="R8" s="417">
        <f>497/(L7+L8)*100</f>
        <v>28.2707622298066</v>
      </c>
      <c r="T8" s="414"/>
      <c r="U8" s="415"/>
      <c r="V8" s="416"/>
    </row>
    <row r="9" spans="1:22" ht="25.5" customHeight="1" x14ac:dyDescent="0.25">
      <c r="A9" s="74">
        <v>44483</v>
      </c>
      <c r="B9" s="75">
        <v>2010656245</v>
      </c>
      <c r="C9" s="75" t="s">
        <v>0</v>
      </c>
      <c r="D9" s="428">
        <v>149057.13</v>
      </c>
      <c r="E9" s="75" t="s">
        <v>39</v>
      </c>
      <c r="F9" s="75" t="s">
        <v>2</v>
      </c>
      <c r="G9" s="75" t="s">
        <v>42</v>
      </c>
      <c r="H9" s="75" t="s">
        <v>97</v>
      </c>
      <c r="I9" s="75" t="s">
        <v>98</v>
      </c>
      <c r="J9" s="75" t="s">
        <v>99</v>
      </c>
      <c r="K9" s="75" t="s">
        <v>100</v>
      </c>
      <c r="L9" s="75">
        <v>879</v>
      </c>
      <c r="M9" s="75">
        <v>29880</v>
      </c>
      <c r="N9" s="75" t="s">
        <v>8</v>
      </c>
      <c r="O9" s="654">
        <v>45760.538910000003</v>
      </c>
      <c r="P9" s="710">
        <f>O9/D9*100</f>
        <v>30.7</v>
      </c>
      <c r="Q9" s="709">
        <f>D9/(L9+L10)</f>
        <v>84.787901023890782</v>
      </c>
      <c r="R9" s="417"/>
      <c r="T9" s="414"/>
      <c r="U9" s="415"/>
      <c r="V9" s="416"/>
    </row>
    <row r="10" spans="1:22" ht="25.5" customHeight="1" x14ac:dyDescent="0.25">
      <c r="A10" s="74">
        <v>44484</v>
      </c>
      <c r="B10" s="75">
        <v>2816782</v>
      </c>
      <c r="C10" s="75" t="s">
        <v>9</v>
      </c>
      <c r="D10" s="428">
        <v>0</v>
      </c>
      <c r="E10" s="75"/>
      <c r="F10" s="75" t="s">
        <v>42</v>
      </c>
      <c r="G10" s="75" t="s">
        <v>2</v>
      </c>
      <c r="H10" s="75" t="s">
        <v>97</v>
      </c>
      <c r="I10" s="75" t="s">
        <v>98</v>
      </c>
      <c r="J10" s="75" t="s">
        <v>99</v>
      </c>
      <c r="K10" s="75" t="s">
        <v>100</v>
      </c>
      <c r="L10" s="75">
        <v>879</v>
      </c>
      <c r="M10" s="75">
        <v>0</v>
      </c>
      <c r="N10" s="75" t="s">
        <v>10</v>
      </c>
      <c r="O10" s="655"/>
      <c r="P10" s="710"/>
      <c r="Q10" s="709"/>
      <c r="R10" s="417">
        <f>496/(L9+L10)*100</f>
        <v>28.213879408418656</v>
      </c>
      <c r="T10" s="414"/>
      <c r="U10" s="415"/>
      <c r="V10" s="416"/>
    </row>
    <row r="11" spans="1:22" ht="25.5" customHeight="1" x14ac:dyDescent="0.25">
      <c r="A11" s="441">
        <v>44487</v>
      </c>
      <c r="B11" s="442">
        <v>2010680804</v>
      </c>
      <c r="C11" s="442" t="s">
        <v>0</v>
      </c>
      <c r="D11" s="443">
        <v>63451.38</v>
      </c>
      <c r="E11" s="442" t="s">
        <v>41</v>
      </c>
      <c r="F11" s="442" t="s">
        <v>2</v>
      </c>
      <c r="G11" s="442" t="s">
        <v>101</v>
      </c>
      <c r="H11" s="442" t="s">
        <v>97</v>
      </c>
      <c r="I11" s="442" t="s">
        <v>98</v>
      </c>
      <c r="J11" s="442" t="s">
        <v>99</v>
      </c>
      <c r="K11" s="442" t="s">
        <v>100</v>
      </c>
      <c r="L11" s="442">
        <v>356</v>
      </c>
      <c r="M11" s="442">
        <v>29940</v>
      </c>
      <c r="N11" s="442" t="s">
        <v>38</v>
      </c>
      <c r="O11" s="706">
        <v>19479.573659999998</v>
      </c>
      <c r="P11" s="705">
        <f>O11/D11*100</f>
        <v>30.7</v>
      </c>
      <c r="Q11" s="704">
        <f>D11/(L11+L12)</f>
        <v>89.117106741573025</v>
      </c>
      <c r="R11" s="417"/>
      <c r="T11" s="414"/>
      <c r="U11" s="415"/>
      <c r="V11" s="416"/>
    </row>
    <row r="12" spans="1:22" ht="25.5" customHeight="1" x14ac:dyDescent="0.25">
      <c r="A12" s="441">
        <v>44488</v>
      </c>
      <c r="B12" s="442">
        <v>2816764</v>
      </c>
      <c r="C12" s="442" t="s">
        <v>9</v>
      </c>
      <c r="D12" s="443">
        <v>0</v>
      </c>
      <c r="E12" s="442"/>
      <c r="F12" s="442" t="s">
        <v>101</v>
      </c>
      <c r="G12" s="442" t="s">
        <v>2</v>
      </c>
      <c r="H12" s="442" t="s">
        <v>97</v>
      </c>
      <c r="I12" s="442" t="s">
        <v>98</v>
      </c>
      <c r="J12" s="442" t="s">
        <v>99</v>
      </c>
      <c r="K12" s="442" t="s">
        <v>100</v>
      </c>
      <c r="L12" s="442">
        <v>356</v>
      </c>
      <c r="M12" s="442">
        <v>0</v>
      </c>
      <c r="N12" s="442" t="s">
        <v>10</v>
      </c>
      <c r="O12" s="707"/>
      <c r="P12" s="705"/>
      <c r="Q12" s="704"/>
      <c r="R12" s="417">
        <f>218/(L11+L12)*100</f>
        <v>30.617977528089892</v>
      </c>
      <c r="T12" s="414"/>
      <c r="U12" s="415"/>
      <c r="V12" s="416"/>
    </row>
    <row r="13" spans="1:22" ht="25.5" customHeight="1" x14ac:dyDescent="0.25">
      <c r="A13" s="109">
        <v>44497</v>
      </c>
      <c r="B13" s="110">
        <v>2010731052</v>
      </c>
      <c r="C13" s="110" t="s">
        <v>0</v>
      </c>
      <c r="D13" s="111">
        <v>149057.13</v>
      </c>
      <c r="E13" s="110" t="s">
        <v>44</v>
      </c>
      <c r="F13" s="110" t="s">
        <v>2</v>
      </c>
      <c r="G13" s="110" t="s">
        <v>42</v>
      </c>
      <c r="H13" s="110" t="s">
        <v>97</v>
      </c>
      <c r="I13" s="110" t="s">
        <v>98</v>
      </c>
      <c r="J13" s="110" t="s">
        <v>99</v>
      </c>
      <c r="K13" s="110" t="s">
        <v>100</v>
      </c>
      <c r="L13" s="110">
        <v>879</v>
      </c>
      <c r="M13" s="110">
        <v>30010</v>
      </c>
      <c r="N13" s="110" t="s">
        <v>8</v>
      </c>
      <c r="O13" s="702">
        <v>45760.538910000003</v>
      </c>
      <c r="P13" s="701">
        <f>O13/D13*100</f>
        <v>30.7</v>
      </c>
      <c r="Q13" s="700">
        <f>D13/(L13+L14)</f>
        <v>84.787901023890782</v>
      </c>
      <c r="R13" s="417"/>
      <c r="T13" s="418"/>
      <c r="U13" s="419"/>
      <c r="V13" s="420"/>
    </row>
    <row r="14" spans="1:22" ht="25.5" customHeight="1" x14ac:dyDescent="0.25">
      <c r="A14" s="109">
        <v>44498</v>
      </c>
      <c r="B14" s="110">
        <v>2816701</v>
      </c>
      <c r="C14" s="110" t="s">
        <v>9</v>
      </c>
      <c r="D14" s="111">
        <v>0</v>
      </c>
      <c r="E14" s="110"/>
      <c r="F14" s="110" t="s">
        <v>42</v>
      </c>
      <c r="G14" s="110" t="s">
        <v>2</v>
      </c>
      <c r="H14" s="110" t="s">
        <v>97</v>
      </c>
      <c r="I14" s="110" t="s">
        <v>98</v>
      </c>
      <c r="J14" s="110" t="s">
        <v>99</v>
      </c>
      <c r="K14" s="110" t="s">
        <v>100</v>
      </c>
      <c r="L14" s="110">
        <v>879</v>
      </c>
      <c r="M14" s="110">
        <v>0</v>
      </c>
      <c r="N14" s="110" t="s">
        <v>10</v>
      </c>
      <c r="O14" s="703"/>
      <c r="P14" s="701"/>
      <c r="Q14" s="700"/>
      <c r="R14" s="417">
        <f>509/(L13+L14)*100</f>
        <v>28.953356086461891</v>
      </c>
    </row>
    <row r="15" spans="1:22" ht="25.5" customHeight="1" x14ac:dyDescent="0.25">
      <c r="A15" s="444">
        <v>44500</v>
      </c>
      <c r="B15" s="445">
        <v>2010746642</v>
      </c>
      <c r="C15" s="445" t="s">
        <v>0</v>
      </c>
      <c r="D15" s="446">
        <v>125108.71</v>
      </c>
      <c r="E15" s="445" t="s">
        <v>11</v>
      </c>
      <c r="F15" s="445" t="s">
        <v>2</v>
      </c>
      <c r="G15" s="445" t="s">
        <v>3</v>
      </c>
      <c r="H15" s="445" t="s">
        <v>97</v>
      </c>
      <c r="I15" s="445" t="s">
        <v>98</v>
      </c>
      <c r="J15" s="445" t="s">
        <v>99</v>
      </c>
      <c r="K15" s="445" t="s">
        <v>100</v>
      </c>
      <c r="L15" s="445">
        <v>740</v>
      </c>
      <c r="M15" s="445">
        <v>29720</v>
      </c>
      <c r="N15" s="445" t="s">
        <v>8</v>
      </c>
      <c r="O15" s="446">
        <v>38408.373970000001</v>
      </c>
      <c r="P15" s="436">
        <f>O15/D15*100</f>
        <v>30.7</v>
      </c>
      <c r="Q15" s="413">
        <f>D15/L15</f>
        <v>169.06582432432432</v>
      </c>
      <c r="R15" s="410"/>
    </row>
    <row r="16" spans="1:22" x14ac:dyDescent="0.25">
      <c r="A16" s="421"/>
      <c r="B16" s="421"/>
      <c r="C16" s="421"/>
      <c r="D16" s="422">
        <f>SUM(D4:D15)</f>
        <v>760840.19</v>
      </c>
      <c r="E16" s="421"/>
      <c r="F16" s="421"/>
      <c r="G16" s="421"/>
      <c r="H16" s="421"/>
      <c r="I16" s="421"/>
      <c r="J16" s="421"/>
      <c r="K16" s="421"/>
      <c r="L16" s="421">
        <f>SUM(L4:L15)</f>
        <v>8656</v>
      </c>
      <c r="M16" s="421"/>
      <c r="N16" s="421"/>
      <c r="O16" s="413">
        <f>SUM(O4:O15)</f>
        <v>233577.93833000003</v>
      </c>
      <c r="P16" s="412">
        <f>O16/D16*100</f>
        <v>30.700000000000006</v>
      </c>
      <c r="Q16" s="411">
        <f>D16/L16</f>
        <v>87.897434149722727</v>
      </c>
      <c r="R16" s="410"/>
    </row>
    <row r="18" spans="1:17" ht="15" customHeight="1" x14ac:dyDescent="0.25">
      <c r="A18" s="448" t="s">
        <v>322</v>
      </c>
      <c r="B18" s="448" t="s">
        <v>323</v>
      </c>
      <c r="C18" s="448" t="s">
        <v>324</v>
      </c>
      <c r="D18" s="448" t="s">
        <v>325</v>
      </c>
      <c r="F18" s="449" t="s">
        <v>326</v>
      </c>
      <c r="G18" s="449" t="s">
        <v>327</v>
      </c>
      <c r="H18" s="449" t="s">
        <v>328</v>
      </c>
      <c r="I18" s="450"/>
    </row>
    <row r="19" spans="1:17" x14ac:dyDescent="0.25">
      <c r="A19" s="423">
        <f>D16/L16</f>
        <v>87.897434149722727</v>
      </c>
      <c r="B19" s="424">
        <f>COMBUSTIBLE!C12</f>
        <v>2971.0041498579999</v>
      </c>
      <c r="C19" s="425">
        <f>B19/L16*100</f>
        <v>34.323060880984286</v>
      </c>
      <c r="D19" s="426">
        <f>B25/B19</f>
        <v>67.97147161150636</v>
      </c>
      <c r="F19" s="427">
        <f>+B25/D16</f>
        <v>0.26542173623838228</v>
      </c>
      <c r="G19" s="427">
        <f>B30/D16</f>
        <v>0.31894963808749105</v>
      </c>
      <c r="H19" s="454"/>
      <c r="I19" s="450"/>
    </row>
    <row r="20" spans="1:17" x14ac:dyDescent="0.25">
      <c r="C20" s="429" t="s">
        <v>1220</v>
      </c>
      <c r="F20" s="450"/>
      <c r="G20" s="450"/>
      <c r="H20" s="450"/>
      <c r="I20" s="450"/>
    </row>
    <row r="21" spans="1:17" x14ac:dyDescent="0.25">
      <c r="A21" s="448"/>
      <c r="B21" s="448" t="s">
        <v>329</v>
      </c>
      <c r="C21" s="448" t="s">
        <v>330</v>
      </c>
      <c r="D21" s="448" t="s">
        <v>100</v>
      </c>
      <c r="K21" s="451"/>
      <c r="L21" s="452"/>
      <c r="M21" s="451"/>
      <c r="O21" s="429"/>
      <c r="P21" s="429"/>
      <c r="Q21" s="429"/>
    </row>
    <row r="22" spans="1:17" x14ac:dyDescent="0.25">
      <c r="A22" s="445" t="s">
        <v>331</v>
      </c>
      <c r="B22" s="437">
        <f>D16</f>
        <v>760840.19</v>
      </c>
      <c r="C22" s="455">
        <f>B23</f>
        <v>233577.93833000003</v>
      </c>
      <c r="D22" s="456">
        <f>C22/B22</f>
        <v>0.30700000000000005</v>
      </c>
      <c r="K22" s="451"/>
      <c r="L22" s="452"/>
      <c r="M22" s="451"/>
      <c r="O22" s="429"/>
      <c r="P22" s="429"/>
      <c r="Q22" s="429"/>
    </row>
    <row r="23" spans="1:17" x14ac:dyDescent="0.25">
      <c r="A23" s="457" t="s">
        <v>27</v>
      </c>
      <c r="B23" s="437">
        <f>O16</f>
        <v>233577.93833000003</v>
      </c>
      <c r="C23" s="447"/>
    </row>
    <row r="24" spans="1:17" x14ac:dyDescent="0.25">
      <c r="A24" s="458" t="s">
        <v>332</v>
      </c>
      <c r="B24" s="459">
        <f>(6*(78578.313+12454.55))/(150000+80000)*L16</f>
        <v>20556.012055513042</v>
      </c>
      <c r="C24" s="459">
        <f>(12*(78578.313+12454.55))/(150000+80000)*L16</f>
        <v>41112.024111026083</v>
      </c>
    </row>
    <row r="25" spans="1:17" x14ac:dyDescent="0.25">
      <c r="A25" s="458" t="s">
        <v>333</v>
      </c>
      <c r="B25" s="437">
        <f>COMBUSTIBLE!J12</f>
        <v>201943.52422974064</v>
      </c>
      <c r="C25" s="447"/>
    </row>
    <row r="26" spans="1:17" x14ac:dyDescent="0.25">
      <c r="A26" s="458" t="s">
        <v>334</v>
      </c>
      <c r="B26" s="437"/>
      <c r="C26" s="447"/>
    </row>
    <row r="27" spans="1:17" x14ac:dyDescent="0.25">
      <c r="A27" s="458" t="s">
        <v>335</v>
      </c>
      <c r="B27" s="437">
        <f>'PATENTE PROVINCIAL'!N9</f>
        <v>3048.8</v>
      </c>
      <c r="C27" s="453">
        <f>'PATENTE PROVINCIAL'!N77</f>
        <v>1600.4</v>
      </c>
    </row>
    <row r="28" spans="1:17" x14ac:dyDescent="0.25">
      <c r="A28" s="458" t="s">
        <v>336</v>
      </c>
      <c r="B28" s="437">
        <f>'PATENTE MUNICIPAL'!I9</f>
        <v>4265.7333333333336</v>
      </c>
      <c r="C28" s="453">
        <f>'PATENTE MUNICIPAL'!I84</f>
        <v>2239.21</v>
      </c>
    </row>
    <row r="29" spans="1:17" x14ac:dyDescent="0.25">
      <c r="A29" s="458" t="s">
        <v>337</v>
      </c>
      <c r="B29" s="437">
        <f>SEGURO!K9</f>
        <v>9793.872510436433</v>
      </c>
      <c r="C29" s="453">
        <f>SEGURO!K88</f>
        <v>248.33218785578745</v>
      </c>
    </row>
    <row r="30" spans="1:17" x14ac:dyDescent="0.25">
      <c r="A30" s="458" t="s">
        <v>338</v>
      </c>
      <c r="B30" s="437">
        <f>L16*SUELDOS!U25</f>
        <v>242669.70324291789</v>
      </c>
      <c r="C30" s="453"/>
      <c r="D30" s="460">
        <f>B30/L16</f>
        <v>28.034854810873139</v>
      </c>
    </row>
    <row r="31" spans="1:17" x14ac:dyDescent="0.25">
      <c r="A31" s="458" t="s">
        <v>339</v>
      </c>
      <c r="B31" s="437">
        <f>'GASTOS TRACTOR'!H23</f>
        <v>25296.001349999999</v>
      </c>
      <c r="C31" s="453">
        <f>'GASTOS SEMI'!H206</f>
        <v>1441.02</v>
      </c>
    </row>
    <row r="32" spans="1:17" x14ac:dyDescent="0.25">
      <c r="A32" s="458" t="s">
        <v>340</v>
      </c>
      <c r="B32" s="437">
        <f>SUM(B24:B31)</f>
        <v>507573.6467219413</v>
      </c>
      <c r="C32" s="461">
        <f>SUM(C24:C31)</f>
        <v>46640.986298881871</v>
      </c>
    </row>
    <row r="33" spans="1:4" x14ac:dyDescent="0.25">
      <c r="A33" s="448" t="s">
        <v>341</v>
      </c>
      <c r="B33" s="462">
        <f>B22-B23-B32</f>
        <v>19688.604948058608</v>
      </c>
      <c r="C33" s="463">
        <f>C22-C23-C32</f>
        <v>186936.95203111815</v>
      </c>
      <c r="D33" s="462">
        <f>+B33+C33</f>
        <v>206625.55697917676</v>
      </c>
    </row>
  </sheetData>
  <sortState xmlns:xlrd2="http://schemas.microsoft.com/office/spreadsheetml/2017/richdata2" ref="A2:P14">
    <sortCondition ref="A1"/>
  </sortState>
  <mergeCells count="16"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  <mergeCell ref="Q13:Q14"/>
    <mergeCell ref="P13:P14"/>
    <mergeCell ref="O13:O14"/>
    <mergeCell ref="Q11:Q12"/>
    <mergeCell ref="P11:P12"/>
    <mergeCell ref="O11:O12"/>
  </mergeCells>
  <conditionalFormatting sqref="C19">
    <cfRule type="cellIs" dxfId="5" priority="1" operator="lessThan">
      <formula>29</formula>
    </cfRule>
    <cfRule type="cellIs" dxfId="4" priority="2" operator="greaterThan">
      <formula>38</formula>
    </cfRule>
    <cfRule type="cellIs" dxfId="3" priority="3" operator="lessThan">
      <formula>38</formula>
    </cfRule>
    <cfRule type="cellIs" dxfId="2" priority="4" operator="lessThan">
      <formula>38</formula>
    </cfRule>
    <cfRule type="cellIs" dxfId="1" priority="5" operator="greaterThan">
      <formula>40</formula>
    </cfRule>
  </conditionalFormatting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18D9A-FAA4-4C19-9438-450568535081}">
  <sheetPr>
    <tabColor rgb="FFFF0000"/>
  </sheetPr>
  <dimension ref="A1:X18"/>
  <sheetViews>
    <sheetView topLeftCell="C1" workbookViewId="0">
      <selection activeCell="N4" sqref="N4"/>
    </sheetView>
  </sheetViews>
  <sheetFormatPr baseColWidth="10" defaultRowHeight="15" x14ac:dyDescent="0.25"/>
  <cols>
    <col min="3" max="3" width="14.42578125" bestFit="1" customWidth="1"/>
    <col min="5" max="5" width="14" bestFit="1" customWidth="1"/>
    <col min="6" max="6" width="13" bestFit="1" customWidth="1"/>
    <col min="7" max="7" width="15.5703125" bestFit="1" customWidth="1"/>
    <col min="8" max="15" width="13" customWidth="1"/>
    <col min="16" max="16" width="14.5703125" bestFit="1" customWidth="1"/>
    <col min="17" max="17" width="13" customWidth="1"/>
    <col min="18" max="18" width="13.28515625" bestFit="1" customWidth="1"/>
    <col min="19" max="19" width="13.28515625" customWidth="1"/>
    <col min="20" max="20" width="14.28515625" bestFit="1" customWidth="1"/>
    <col min="21" max="21" width="14.42578125" bestFit="1" customWidth="1"/>
    <col min="22" max="22" width="22" bestFit="1" customWidth="1"/>
    <col min="23" max="23" width="16.7109375" bestFit="1" customWidth="1"/>
    <col min="24" max="24" width="12.140625" bestFit="1" customWidth="1"/>
  </cols>
  <sheetData>
    <row r="1" spans="1:24" s="478" customFormat="1" ht="18.75" x14ac:dyDescent="0.3">
      <c r="A1" s="476" t="s">
        <v>1234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715" t="s">
        <v>1233</v>
      </c>
      <c r="P1" s="716"/>
      <c r="Q1" s="716"/>
      <c r="R1" s="716"/>
      <c r="S1" s="716"/>
      <c r="T1" s="716"/>
      <c r="U1" s="716"/>
      <c r="V1" s="716"/>
      <c r="W1" s="716"/>
      <c r="X1" s="717"/>
    </row>
    <row r="2" spans="1:24" x14ac:dyDescent="0.25"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72"/>
      <c r="P2" s="473"/>
      <c r="Q2" s="473"/>
      <c r="R2" s="473"/>
      <c r="S2" s="473"/>
      <c r="T2" s="473"/>
      <c r="U2" s="473"/>
      <c r="V2" s="473"/>
      <c r="W2" s="473"/>
      <c r="X2" s="474"/>
    </row>
    <row r="3" spans="1:24" s="465" customFormat="1" ht="28.5" customHeight="1" x14ac:dyDescent="0.25">
      <c r="B3" s="479" t="s">
        <v>22</v>
      </c>
      <c r="C3" s="475" t="s">
        <v>1237</v>
      </c>
      <c r="D3" s="479" t="s">
        <v>1232</v>
      </c>
      <c r="E3" s="479" t="s">
        <v>331</v>
      </c>
      <c r="F3" s="479" t="s">
        <v>27</v>
      </c>
      <c r="G3" s="480" t="s">
        <v>1236</v>
      </c>
      <c r="H3" s="470" t="s">
        <v>332</v>
      </c>
      <c r="I3" s="470" t="s">
        <v>333</v>
      </c>
      <c r="J3" s="448" t="s">
        <v>334</v>
      </c>
      <c r="K3" s="479" t="s">
        <v>335</v>
      </c>
      <c r="L3" s="479" t="s">
        <v>336</v>
      </c>
      <c r="M3" s="480" t="s">
        <v>337</v>
      </c>
      <c r="N3" s="475" t="s">
        <v>338</v>
      </c>
      <c r="O3" s="475" t="s">
        <v>339</v>
      </c>
      <c r="P3" s="468" t="s">
        <v>340</v>
      </c>
      <c r="Q3" s="468" t="s">
        <v>341</v>
      </c>
      <c r="R3" s="479" t="s">
        <v>322</v>
      </c>
      <c r="S3" s="475" t="s">
        <v>323</v>
      </c>
      <c r="T3" s="468" t="s">
        <v>324</v>
      </c>
      <c r="U3" s="468" t="s">
        <v>325</v>
      </c>
      <c r="V3" s="468" t="s">
        <v>326</v>
      </c>
      <c r="W3" s="468" t="s">
        <v>327</v>
      </c>
      <c r="X3" s="479" t="s">
        <v>328</v>
      </c>
    </row>
    <row r="4" spans="1:24" x14ac:dyDescent="0.25">
      <c r="B4" t="s">
        <v>99</v>
      </c>
      <c r="C4" s="481" t="s">
        <v>1238</v>
      </c>
      <c r="D4">
        <f>+AC121PH_VIAR!L16</f>
        <v>8656</v>
      </c>
      <c r="E4" s="464">
        <f>+AC121PH_VIAR!D16</f>
        <v>760840.19</v>
      </c>
      <c r="F4" s="464">
        <f>+AC121PH_VIAR!O16</f>
        <v>233577.93833000003</v>
      </c>
      <c r="G4" s="464"/>
      <c r="H4" s="471">
        <v>20556.012055513042</v>
      </c>
      <c r="I4" s="483">
        <f>+COMBUSTIBLE!J12</f>
        <v>201943.52422974064</v>
      </c>
      <c r="J4" s="464">
        <v>0</v>
      </c>
      <c r="K4" s="464">
        <f>+'PATENTE PROVINCIAL'!N9</f>
        <v>3048.8</v>
      </c>
      <c r="L4" s="464">
        <f>+'PATENTE MUNICIPAL'!I9</f>
        <v>4265.7333333333336</v>
      </c>
      <c r="M4" s="464">
        <f>+SEGURO!K9</f>
        <v>9793.872510436433</v>
      </c>
      <c r="N4" s="471">
        <f>+AC121PH_VIAR!B30</f>
        <v>242669.70324291789</v>
      </c>
      <c r="O4" s="471">
        <v>25296.001349999999</v>
      </c>
      <c r="P4" s="464">
        <f>SUM(H4:O4)</f>
        <v>507573.6467219413</v>
      </c>
      <c r="Q4" s="464">
        <f>+E4-F4-P4</f>
        <v>19688.604948058608</v>
      </c>
      <c r="R4">
        <f>+E4/D4</f>
        <v>87.897434149722727</v>
      </c>
      <c r="S4" s="490">
        <f>+AC121PH_VIAR!B19</f>
        <v>2971.0041498579999</v>
      </c>
      <c r="T4" s="466">
        <f>+(S4/D4)*100</f>
        <v>34.323060880984286</v>
      </c>
      <c r="U4" s="466">
        <f>+I4/S4</f>
        <v>67.97147161150636</v>
      </c>
      <c r="V4" s="491">
        <f>+I4/E4*100</f>
        <v>26.542173623838227</v>
      </c>
      <c r="W4" s="466"/>
      <c r="X4" s="466"/>
    </row>
    <row r="5" spans="1:24" x14ac:dyDescent="0.25">
      <c r="B5" t="s">
        <v>105</v>
      </c>
      <c r="C5" s="481" t="s">
        <v>1238</v>
      </c>
    </row>
    <row r="6" spans="1:24" x14ac:dyDescent="0.25">
      <c r="C6" s="481" t="s">
        <v>23</v>
      </c>
      <c r="N6" t="s">
        <v>1235</v>
      </c>
    </row>
    <row r="7" spans="1:24" x14ac:dyDescent="0.25">
      <c r="C7" s="482" t="s">
        <v>1239</v>
      </c>
    </row>
    <row r="8" spans="1:24" x14ac:dyDescent="0.25">
      <c r="M8" s="469"/>
    </row>
    <row r="9" spans="1:24" x14ac:dyDescent="0.25">
      <c r="D9" s="470" t="s">
        <v>332</v>
      </c>
    </row>
    <row r="10" spans="1:24" ht="30" x14ac:dyDescent="0.25">
      <c r="B10" s="479" t="s">
        <v>22</v>
      </c>
      <c r="C10" s="480" t="s">
        <v>1245</v>
      </c>
      <c r="D10" s="479" t="s">
        <v>1240</v>
      </c>
      <c r="E10" s="479" t="s">
        <v>1241</v>
      </c>
      <c r="F10" s="479" t="s">
        <v>1242</v>
      </c>
      <c r="G10" s="479" t="s">
        <v>1243</v>
      </c>
      <c r="H10" s="479" t="s">
        <v>1244</v>
      </c>
    </row>
    <row r="11" spans="1:24" x14ac:dyDescent="0.25">
      <c r="B11" s="467" t="s">
        <v>99</v>
      </c>
      <c r="C11" s="467"/>
      <c r="D11" s="467"/>
      <c r="E11" s="467"/>
      <c r="F11" s="467"/>
      <c r="G11" s="467"/>
      <c r="H11" s="467"/>
    </row>
    <row r="12" spans="1:24" x14ac:dyDescent="0.25">
      <c r="B12" s="467" t="s">
        <v>105</v>
      </c>
      <c r="C12" s="467"/>
      <c r="D12" s="467"/>
      <c r="E12" s="467"/>
      <c r="F12" s="467"/>
      <c r="G12" s="467"/>
      <c r="H12" s="467"/>
    </row>
    <row r="14" spans="1:24" x14ac:dyDescent="0.25">
      <c r="B14" s="479" t="s">
        <v>22</v>
      </c>
      <c r="C14" s="479" t="s">
        <v>1237</v>
      </c>
      <c r="D14" s="479" t="s">
        <v>1248</v>
      </c>
      <c r="E14" s="479" t="s">
        <v>1250</v>
      </c>
      <c r="F14" s="479" t="s">
        <v>1251</v>
      </c>
    </row>
    <row r="15" spans="1:24" x14ac:dyDescent="0.25">
      <c r="B15" s="467" t="s">
        <v>99</v>
      </c>
      <c r="C15" s="484" t="s">
        <v>1238</v>
      </c>
      <c r="D15" s="467"/>
      <c r="E15" s="467"/>
      <c r="F15" s="467"/>
    </row>
    <row r="16" spans="1:24" x14ac:dyDescent="0.25">
      <c r="B16" s="467" t="s">
        <v>105</v>
      </c>
      <c r="C16" s="484" t="s">
        <v>1238</v>
      </c>
      <c r="D16" s="467"/>
      <c r="E16" s="467"/>
      <c r="F16" s="467"/>
    </row>
    <row r="17" spans="2:6" x14ac:dyDescent="0.25">
      <c r="B17" s="467" t="s">
        <v>1246</v>
      </c>
      <c r="C17" s="484" t="s">
        <v>23</v>
      </c>
      <c r="D17" s="467"/>
      <c r="E17" s="467"/>
      <c r="F17" s="467"/>
    </row>
    <row r="18" spans="2:6" x14ac:dyDescent="0.25">
      <c r="B18" s="467" t="s">
        <v>1247</v>
      </c>
      <c r="C18" s="484" t="s">
        <v>1249</v>
      </c>
      <c r="D18" s="467"/>
      <c r="E18" s="467"/>
      <c r="F18" s="467"/>
    </row>
  </sheetData>
  <mergeCells count="1">
    <mergeCell ref="O1:X1"/>
  </mergeCells>
  <pageMargins left="0.7" right="0.7" top="0.75" bottom="0.75" header="0.3" footer="0.3"/>
  <pageSetup orientation="portrait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00B0F0"/>
  </sheetPr>
  <dimension ref="A1:K220"/>
  <sheetViews>
    <sheetView workbookViewId="0">
      <selection activeCell="J12" sqref="J12"/>
    </sheetView>
  </sheetViews>
  <sheetFormatPr baseColWidth="10" defaultRowHeight="15" outlineLevelRow="2" x14ac:dyDescent="0.25"/>
  <cols>
    <col min="1" max="1" width="18.42578125" style="209" bestFit="1" customWidth="1"/>
    <col min="2" max="2" width="14" style="29" bestFit="1" customWidth="1"/>
    <col min="3" max="3" width="11.5703125" style="142" bestFit="1" customWidth="1"/>
    <col min="4" max="4" width="40.85546875" style="29" bestFit="1" customWidth="1"/>
    <col min="5" max="5" width="12.28515625" style="29" bestFit="1" customWidth="1"/>
    <col min="6" max="6" width="11.85546875" style="25" bestFit="1" customWidth="1"/>
    <col min="7" max="7" width="10.140625" style="25" bestFit="1" customWidth="1"/>
    <col min="8" max="8" width="9.7109375" style="25" bestFit="1" customWidth="1"/>
    <col min="9" max="9" width="11.140625" style="25" bestFit="1" customWidth="1"/>
    <col min="10" max="10" width="14.5703125" style="25" bestFit="1" customWidth="1"/>
    <col min="11" max="11" width="13" style="29" bestFit="1" customWidth="1"/>
    <col min="12" max="16384" width="11.42578125" style="29"/>
  </cols>
  <sheetData>
    <row r="1" spans="1:11" ht="17.25" x14ac:dyDescent="0.25">
      <c r="A1" s="724" t="s">
        <v>660</v>
      </c>
      <c r="B1" s="724"/>
      <c r="C1" s="724"/>
      <c r="D1" s="724"/>
      <c r="E1" s="724"/>
      <c r="F1" s="724"/>
      <c r="G1" s="724"/>
      <c r="H1" s="724"/>
      <c r="I1" s="724"/>
      <c r="J1" s="724"/>
      <c r="K1" s="724"/>
    </row>
    <row r="3" spans="1:11" x14ac:dyDescent="0.25">
      <c r="A3" s="215" t="s">
        <v>525</v>
      </c>
      <c r="B3" s="216" t="s">
        <v>526</v>
      </c>
      <c r="C3" s="217" t="s">
        <v>527</v>
      </c>
      <c r="D3" s="218" t="s">
        <v>528</v>
      </c>
      <c r="E3" s="219" t="s">
        <v>529</v>
      </c>
      <c r="F3" s="26" t="s">
        <v>341</v>
      </c>
      <c r="G3" s="26" t="s">
        <v>397</v>
      </c>
      <c r="H3" s="26" t="s">
        <v>530</v>
      </c>
      <c r="I3" s="26" t="s">
        <v>531</v>
      </c>
      <c r="J3" s="26" t="s">
        <v>532</v>
      </c>
      <c r="K3" s="219" t="s">
        <v>533</v>
      </c>
    </row>
    <row r="4" spans="1:11" outlineLevel="2" x14ac:dyDescent="0.25">
      <c r="A4" s="206">
        <v>44474</v>
      </c>
      <c r="B4" s="28" t="s">
        <v>99</v>
      </c>
      <c r="C4" s="39">
        <v>73</v>
      </c>
      <c r="D4" s="28" t="s">
        <v>539</v>
      </c>
      <c r="E4" s="28">
        <v>6556</v>
      </c>
      <c r="F4" s="24">
        <v>58.537700000000001</v>
      </c>
      <c r="G4" s="24">
        <v>12.292916999999999</v>
      </c>
      <c r="H4" s="24">
        <v>11.975199999999999</v>
      </c>
      <c r="I4" s="24">
        <v>1.5993999999999999</v>
      </c>
      <c r="J4" s="24">
        <f t="shared" ref="J4:J72" si="0">C4*(F4+H4*0.55+I4)</f>
        <v>4870.8125799999998</v>
      </c>
      <c r="K4" s="28" t="s">
        <v>540</v>
      </c>
    </row>
    <row r="5" spans="1:11" outlineLevel="2" x14ac:dyDescent="0.25">
      <c r="A5" s="206">
        <v>44475</v>
      </c>
      <c r="B5" s="28" t="s">
        <v>99</v>
      </c>
      <c r="C5" s="39">
        <v>218</v>
      </c>
      <c r="D5" s="28" t="s">
        <v>539</v>
      </c>
      <c r="E5" s="28">
        <v>6556</v>
      </c>
      <c r="F5" s="24">
        <v>58.537700000000001</v>
      </c>
      <c r="G5" s="24">
        <v>12.292916999999999</v>
      </c>
      <c r="H5" s="24">
        <v>11.975199999999999</v>
      </c>
      <c r="I5" s="24">
        <v>1.5993999999999999</v>
      </c>
      <c r="J5" s="24">
        <f t="shared" si="0"/>
        <v>14545.71428</v>
      </c>
      <c r="K5" s="28" t="s">
        <v>540</v>
      </c>
    </row>
    <row r="6" spans="1:11" outlineLevel="2" x14ac:dyDescent="0.25">
      <c r="A6" s="206">
        <v>44478</v>
      </c>
      <c r="B6" s="28" t="s">
        <v>99</v>
      </c>
      <c r="C6" s="39">
        <v>438</v>
      </c>
      <c r="D6" s="28" t="s">
        <v>539</v>
      </c>
      <c r="E6" s="28">
        <v>6556</v>
      </c>
      <c r="F6" s="24">
        <v>58.537700000000001</v>
      </c>
      <c r="G6" s="24">
        <v>12.292916999999999</v>
      </c>
      <c r="H6" s="24">
        <v>11.975199999999999</v>
      </c>
      <c r="I6" s="24">
        <v>1.5993999999999999</v>
      </c>
      <c r="J6" s="24">
        <f t="shared" si="0"/>
        <v>29224.875480000002</v>
      </c>
      <c r="K6" s="28" t="s">
        <v>540</v>
      </c>
    </row>
    <row r="7" spans="1:11" outlineLevel="2" x14ac:dyDescent="0.25">
      <c r="A7" s="206">
        <v>44483</v>
      </c>
      <c r="B7" s="28" t="s">
        <v>99</v>
      </c>
      <c r="C7" s="39">
        <v>497</v>
      </c>
      <c r="D7" s="28" t="s">
        <v>541</v>
      </c>
      <c r="E7" s="28">
        <v>6600</v>
      </c>
      <c r="F7" s="24">
        <v>58.537700000000001</v>
      </c>
      <c r="G7" s="24">
        <v>12.292916999999999</v>
      </c>
      <c r="H7" s="24">
        <v>11.975199999999999</v>
      </c>
      <c r="I7" s="24">
        <v>1.5993999999999999</v>
      </c>
      <c r="J7" s="24">
        <f t="shared" si="0"/>
        <v>33161.55962</v>
      </c>
      <c r="K7" s="28" t="s">
        <v>540</v>
      </c>
    </row>
    <row r="8" spans="1:11" outlineLevel="2" x14ac:dyDescent="0.25">
      <c r="A8" s="206">
        <v>44485</v>
      </c>
      <c r="B8" s="28" t="s">
        <v>99</v>
      </c>
      <c r="C8" s="39">
        <v>496</v>
      </c>
      <c r="D8" s="28" t="s">
        <v>541</v>
      </c>
      <c r="E8" s="28">
        <v>6600</v>
      </c>
      <c r="F8" s="24">
        <v>58.537700000000001</v>
      </c>
      <c r="G8" s="24">
        <v>12.292916999999999</v>
      </c>
      <c r="H8" s="24">
        <v>11.975199999999999</v>
      </c>
      <c r="I8" s="24">
        <v>1.5993999999999999</v>
      </c>
      <c r="J8" s="24">
        <f t="shared" si="0"/>
        <v>33094.836159999999</v>
      </c>
      <c r="K8" s="28" t="s">
        <v>540</v>
      </c>
    </row>
    <row r="9" spans="1:11" outlineLevel="2" x14ac:dyDescent="0.25">
      <c r="A9" s="206">
        <v>44488</v>
      </c>
      <c r="B9" s="28" t="s">
        <v>99</v>
      </c>
      <c r="C9" s="39">
        <v>218</v>
      </c>
      <c r="D9" s="28" t="s">
        <v>541</v>
      </c>
      <c r="E9" s="28">
        <v>6600</v>
      </c>
      <c r="F9" s="24">
        <v>58.537700000000001</v>
      </c>
      <c r="G9" s="24">
        <v>12.292916999999999</v>
      </c>
      <c r="H9" s="24">
        <v>11.975199999999999</v>
      </c>
      <c r="I9" s="24">
        <v>1.5993999999999999</v>
      </c>
      <c r="J9" s="24">
        <f t="shared" si="0"/>
        <v>14545.71428</v>
      </c>
      <c r="K9" s="28" t="s">
        <v>540</v>
      </c>
    </row>
    <row r="10" spans="1:11" outlineLevel="2" x14ac:dyDescent="0.25">
      <c r="A10" s="206">
        <v>44491</v>
      </c>
      <c r="B10" s="28" t="s">
        <v>99</v>
      </c>
      <c r="C10" s="39">
        <v>509</v>
      </c>
      <c r="D10" s="28" t="s">
        <v>542</v>
      </c>
      <c r="E10" s="28">
        <v>6634</v>
      </c>
      <c r="F10" s="24">
        <v>58.537700000000001</v>
      </c>
      <c r="G10" s="24">
        <v>12.292916999999999</v>
      </c>
      <c r="H10" s="24">
        <v>11.975199999999999</v>
      </c>
      <c r="I10" s="24">
        <v>1.5993999999999999</v>
      </c>
      <c r="J10" s="24">
        <f t="shared" si="0"/>
        <v>33962.241139999998</v>
      </c>
      <c r="K10" s="28" t="s">
        <v>540</v>
      </c>
    </row>
    <row r="11" spans="1:11" outlineLevel="2" x14ac:dyDescent="0.25">
      <c r="A11" s="210">
        <v>44498</v>
      </c>
      <c r="B11" s="118" t="s">
        <v>99</v>
      </c>
      <c r="C11" s="212">
        <v>522.00414985800001</v>
      </c>
      <c r="D11" s="118" t="s">
        <v>544</v>
      </c>
      <c r="E11" s="28"/>
      <c r="F11" s="117">
        <v>65.640799999999999</v>
      </c>
      <c r="G11" s="117">
        <v>13.784567999999998</v>
      </c>
      <c r="H11" s="117">
        <v>11.975199999999999</v>
      </c>
      <c r="I11" s="117">
        <v>1.5993999999999999</v>
      </c>
      <c r="J11" s="24">
        <f t="shared" si="0"/>
        <v>38537.770689740631</v>
      </c>
      <c r="K11" s="118" t="s">
        <v>535</v>
      </c>
    </row>
    <row r="12" spans="1:11" s="214" customFormat="1" outlineLevel="1" x14ac:dyDescent="0.25">
      <c r="A12" s="220"/>
      <c r="B12" s="221" t="s">
        <v>639</v>
      </c>
      <c r="C12" s="488">
        <f>SUBTOTAL(9,C4:C11)</f>
        <v>2971.0041498579999</v>
      </c>
      <c r="D12" s="718"/>
      <c r="E12" s="719"/>
      <c r="F12" s="719"/>
      <c r="G12" s="719"/>
      <c r="H12" s="719"/>
      <c r="I12" s="720"/>
      <c r="J12" s="489">
        <f>SUBTOTAL(9,J4:J11)</f>
        <v>201943.52422974064</v>
      </c>
      <c r="K12" s="221"/>
    </row>
    <row r="13" spans="1:11" outlineLevel="2" x14ac:dyDescent="0.25">
      <c r="A13" s="206">
        <v>44474</v>
      </c>
      <c r="B13" s="28" t="s">
        <v>105</v>
      </c>
      <c r="C13" s="39">
        <v>508</v>
      </c>
      <c r="D13" s="28" t="s">
        <v>539</v>
      </c>
      <c r="E13" s="28">
        <v>6556</v>
      </c>
      <c r="F13" s="24">
        <v>58.537700000000001</v>
      </c>
      <c r="G13" s="24">
        <v>12.292916999999999</v>
      </c>
      <c r="H13" s="24">
        <v>11.975199999999999</v>
      </c>
      <c r="I13" s="24">
        <v>1.5993999999999999</v>
      </c>
      <c r="J13" s="24">
        <f t="shared" si="0"/>
        <v>33895.517680000004</v>
      </c>
      <c r="K13" s="28" t="s">
        <v>540</v>
      </c>
    </row>
    <row r="14" spans="1:11" outlineLevel="2" x14ac:dyDescent="0.25">
      <c r="A14" s="206">
        <v>44485</v>
      </c>
      <c r="B14" s="28" t="s">
        <v>105</v>
      </c>
      <c r="C14" s="39">
        <v>416</v>
      </c>
      <c r="D14" s="28" t="s">
        <v>541</v>
      </c>
      <c r="E14" s="28">
        <v>6600</v>
      </c>
      <c r="F14" s="24">
        <v>58.537700000000001</v>
      </c>
      <c r="G14" s="24">
        <v>12.292916999999999</v>
      </c>
      <c r="H14" s="24">
        <v>11.975199999999999</v>
      </c>
      <c r="I14" s="24">
        <v>1.5993999999999999</v>
      </c>
      <c r="J14" s="24">
        <f t="shared" si="0"/>
        <v>27756.959360000001</v>
      </c>
      <c r="K14" s="28" t="s">
        <v>540</v>
      </c>
    </row>
    <row r="15" spans="1:11" outlineLevel="2" x14ac:dyDescent="0.25">
      <c r="A15" s="206">
        <v>44489</v>
      </c>
      <c r="B15" s="28" t="s">
        <v>105</v>
      </c>
      <c r="C15" s="39">
        <v>372</v>
      </c>
      <c r="D15" s="28" t="s">
        <v>541</v>
      </c>
      <c r="E15" s="28">
        <v>6600</v>
      </c>
      <c r="F15" s="24">
        <v>58.537700000000001</v>
      </c>
      <c r="G15" s="24">
        <v>12.292916999999999</v>
      </c>
      <c r="H15" s="24">
        <v>11.975199999999999</v>
      </c>
      <c r="I15" s="24">
        <v>1.5993999999999999</v>
      </c>
      <c r="J15" s="24">
        <f t="shared" si="0"/>
        <v>24821.127120000001</v>
      </c>
      <c r="K15" s="28" t="s">
        <v>540</v>
      </c>
    </row>
    <row r="16" spans="1:11" outlineLevel="2" x14ac:dyDescent="0.25">
      <c r="A16" s="206">
        <v>44491</v>
      </c>
      <c r="B16" s="28" t="s">
        <v>105</v>
      </c>
      <c r="C16" s="39">
        <v>456</v>
      </c>
      <c r="D16" s="28" t="s">
        <v>542</v>
      </c>
      <c r="E16" s="28">
        <v>6634</v>
      </c>
      <c r="F16" s="24">
        <v>58.537700000000001</v>
      </c>
      <c r="G16" s="24">
        <v>12.292916999999999</v>
      </c>
      <c r="H16" s="24">
        <v>11.975199999999999</v>
      </c>
      <c r="I16" s="24">
        <v>1.5993999999999999</v>
      </c>
      <c r="J16" s="24">
        <f t="shared" si="0"/>
        <v>30425.89776</v>
      </c>
      <c r="K16" s="28" t="s">
        <v>540</v>
      </c>
    </row>
    <row r="17" spans="1:11" outlineLevel="2" x14ac:dyDescent="0.25">
      <c r="A17" s="206">
        <v>44500</v>
      </c>
      <c r="B17" s="28" t="s">
        <v>105</v>
      </c>
      <c r="C17" s="39">
        <v>473</v>
      </c>
      <c r="D17" s="28" t="s">
        <v>542</v>
      </c>
      <c r="E17" s="28">
        <v>6634</v>
      </c>
      <c r="F17" s="24">
        <v>58.537700000000001</v>
      </c>
      <c r="G17" s="24">
        <v>12.292916999999999</v>
      </c>
      <c r="H17" s="24">
        <v>11.975199999999999</v>
      </c>
      <c r="I17" s="24">
        <v>1.5993999999999999</v>
      </c>
      <c r="J17" s="24">
        <f t="shared" si="0"/>
        <v>31560.19658</v>
      </c>
      <c r="K17" s="28" t="s">
        <v>540</v>
      </c>
    </row>
    <row r="18" spans="1:11" outlineLevel="2" x14ac:dyDescent="0.25">
      <c r="A18" s="210">
        <v>44497</v>
      </c>
      <c r="B18" s="118" t="s">
        <v>105</v>
      </c>
      <c r="C18" s="212">
        <v>379.666</v>
      </c>
      <c r="D18" s="118" t="s">
        <v>546</v>
      </c>
      <c r="E18" s="28"/>
      <c r="F18" s="117">
        <v>65.640799999999999</v>
      </c>
      <c r="G18" s="117">
        <v>13.784567999999998</v>
      </c>
      <c r="H18" s="117">
        <v>11.975199999999999</v>
      </c>
      <c r="I18" s="117">
        <v>1.5993999999999999</v>
      </c>
      <c r="J18" s="24">
        <f t="shared" si="0"/>
        <v>28029.434728960001</v>
      </c>
      <c r="K18" s="118" t="s">
        <v>535</v>
      </c>
    </row>
    <row r="19" spans="1:11" s="214" customFormat="1" outlineLevel="1" x14ac:dyDescent="0.25">
      <c r="A19" s="220"/>
      <c r="B19" s="221" t="s">
        <v>640</v>
      </c>
      <c r="C19" s="222">
        <f>SUBTOTAL(9,C13:C18)</f>
        <v>2604.6660000000002</v>
      </c>
      <c r="D19" s="718"/>
      <c r="E19" s="719"/>
      <c r="F19" s="719"/>
      <c r="G19" s="719"/>
      <c r="H19" s="719"/>
      <c r="I19" s="720"/>
      <c r="J19" s="223">
        <f>SUBTOTAL(9,J13:J18)</f>
        <v>176489.13322896001</v>
      </c>
      <c r="K19" s="221"/>
    </row>
    <row r="20" spans="1:11" outlineLevel="2" x14ac:dyDescent="0.25">
      <c r="A20" s="206">
        <v>44470</v>
      </c>
      <c r="B20" s="28" t="s">
        <v>117</v>
      </c>
      <c r="C20" s="39">
        <v>436</v>
      </c>
      <c r="D20" s="28" t="s">
        <v>539</v>
      </c>
      <c r="E20" s="28">
        <v>6556</v>
      </c>
      <c r="F20" s="24">
        <v>58.537700000000001</v>
      </c>
      <c r="G20" s="24">
        <v>12.292916999999999</v>
      </c>
      <c r="H20" s="24">
        <v>11.975199999999999</v>
      </c>
      <c r="I20" s="24">
        <v>1.5993999999999999</v>
      </c>
      <c r="J20" s="24">
        <f t="shared" si="0"/>
        <v>29091.42856</v>
      </c>
      <c r="K20" s="28" t="s">
        <v>540</v>
      </c>
    </row>
    <row r="21" spans="1:11" outlineLevel="2" x14ac:dyDescent="0.25">
      <c r="A21" s="206">
        <v>44474</v>
      </c>
      <c r="B21" s="28" t="s">
        <v>117</v>
      </c>
      <c r="C21" s="39">
        <v>514</v>
      </c>
      <c r="D21" s="28" t="s">
        <v>539</v>
      </c>
      <c r="E21" s="28">
        <v>6556</v>
      </c>
      <c r="F21" s="24">
        <v>58.537700000000001</v>
      </c>
      <c r="G21" s="24">
        <v>12.292916999999999</v>
      </c>
      <c r="H21" s="24">
        <v>11.975199999999999</v>
      </c>
      <c r="I21" s="24">
        <v>1.5993999999999999</v>
      </c>
      <c r="J21" s="24">
        <f t="shared" si="0"/>
        <v>34295.858440000004</v>
      </c>
      <c r="K21" s="28" t="s">
        <v>540</v>
      </c>
    </row>
    <row r="22" spans="1:11" outlineLevel="2" x14ac:dyDescent="0.25">
      <c r="A22" s="206">
        <v>44476</v>
      </c>
      <c r="B22" s="28" t="s">
        <v>117</v>
      </c>
      <c r="C22" s="39">
        <v>471</v>
      </c>
      <c r="D22" s="28" t="s">
        <v>539</v>
      </c>
      <c r="E22" s="28">
        <v>6556</v>
      </c>
      <c r="F22" s="24">
        <v>58.537700000000001</v>
      </c>
      <c r="G22" s="24">
        <v>12.292916999999999</v>
      </c>
      <c r="H22" s="24">
        <v>11.975199999999999</v>
      </c>
      <c r="I22" s="24">
        <v>1.5993999999999999</v>
      </c>
      <c r="J22" s="24">
        <f t="shared" si="0"/>
        <v>31426.749660000001</v>
      </c>
      <c r="K22" s="28" t="s">
        <v>540</v>
      </c>
    </row>
    <row r="23" spans="1:11" outlineLevel="2" x14ac:dyDescent="0.25">
      <c r="A23" s="206">
        <v>44482</v>
      </c>
      <c r="B23" s="28" t="s">
        <v>117</v>
      </c>
      <c r="C23" s="39">
        <v>458</v>
      </c>
      <c r="D23" s="28" t="s">
        <v>541</v>
      </c>
      <c r="E23" s="28">
        <v>6600</v>
      </c>
      <c r="F23" s="24">
        <v>58.537700000000001</v>
      </c>
      <c r="G23" s="24">
        <v>12.292916999999999</v>
      </c>
      <c r="H23" s="24">
        <v>11.975199999999999</v>
      </c>
      <c r="I23" s="24">
        <v>1.5993999999999999</v>
      </c>
      <c r="J23" s="24">
        <f t="shared" si="0"/>
        <v>30559.344680000002</v>
      </c>
      <c r="K23" s="28" t="s">
        <v>540</v>
      </c>
    </row>
    <row r="24" spans="1:11" outlineLevel="2" x14ac:dyDescent="0.25">
      <c r="A24" s="206">
        <v>44485</v>
      </c>
      <c r="B24" s="28" t="s">
        <v>117</v>
      </c>
      <c r="C24" s="39">
        <v>493</v>
      </c>
      <c r="D24" s="28" t="s">
        <v>541</v>
      </c>
      <c r="E24" s="28">
        <v>6600</v>
      </c>
      <c r="F24" s="24">
        <v>58.537700000000001</v>
      </c>
      <c r="G24" s="24">
        <v>12.292916999999999</v>
      </c>
      <c r="H24" s="24">
        <v>11.975199999999999</v>
      </c>
      <c r="I24" s="24">
        <v>1.5993999999999999</v>
      </c>
      <c r="J24" s="24">
        <f t="shared" si="0"/>
        <v>32894.665780000003</v>
      </c>
      <c r="K24" s="28" t="s">
        <v>540</v>
      </c>
    </row>
    <row r="25" spans="1:11" outlineLevel="2" x14ac:dyDescent="0.25">
      <c r="A25" s="206">
        <v>44488</v>
      </c>
      <c r="B25" s="28" t="s">
        <v>117</v>
      </c>
      <c r="C25" s="39">
        <v>473</v>
      </c>
      <c r="D25" s="28" t="s">
        <v>541</v>
      </c>
      <c r="E25" s="28">
        <v>6600</v>
      </c>
      <c r="F25" s="24">
        <v>58.537700000000001</v>
      </c>
      <c r="G25" s="24">
        <v>12.292916999999999</v>
      </c>
      <c r="H25" s="24">
        <v>11.975199999999999</v>
      </c>
      <c r="I25" s="24">
        <v>1.5993999999999999</v>
      </c>
      <c r="J25" s="24">
        <f t="shared" si="0"/>
        <v>31560.19658</v>
      </c>
      <c r="K25" s="28" t="s">
        <v>540</v>
      </c>
    </row>
    <row r="26" spans="1:11" outlineLevel="2" x14ac:dyDescent="0.25">
      <c r="A26" s="206">
        <v>44491</v>
      </c>
      <c r="B26" s="28" t="s">
        <v>117</v>
      </c>
      <c r="C26" s="39">
        <v>489</v>
      </c>
      <c r="D26" s="28" t="s">
        <v>542</v>
      </c>
      <c r="E26" s="28">
        <v>6634</v>
      </c>
      <c r="F26" s="24">
        <v>58.537700000000001</v>
      </c>
      <c r="G26" s="24">
        <v>12.292916999999999</v>
      </c>
      <c r="H26" s="24">
        <v>11.975199999999999</v>
      </c>
      <c r="I26" s="24">
        <v>1.5993999999999999</v>
      </c>
      <c r="J26" s="24">
        <f t="shared" si="0"/>
        <v>32627.771940000002</v>
      </c>
      <c r="K26" s="28" t="s">
        <v>540</v>
      </c>
    </row>
    <row r="27" spans="1:11" outlineLevel="2" x14ac:dyDescent="0.25">
      <c r="A27" s="206">
        <v>44495</v>
      </c>
      <c r="B27" s="28" t="s">
        <v>117</v>
      </c>
      <c r="C27" s="39">
        <v>437</v>
      </c>
      <c r="D27" s="28" t="s">
        <v>542</v>
      </c>
      <c r="E27" s="28">
        <v>6634</v>
      </c>
      <c r="F27" s="24">
        <v>58.537700000000001</v>
      </c>
      <c r="G27" s="24">
        <v>12.292916999999999</v>
      </c>
      <c r="H27" s="24">
        <v>11.975199999999999</v>
      </c>
      <c r="I27" s="24">
        <v>1.5993999999999999</v>
      </c>
      <c r="J27" s="24">
        <f t="shared" si="0"/>
        <v>29158.152020000001</v>
      </c>
      <c r="K27" s="28" t="s">
        <v>540</v>
      </c>
    </row>
    <row r="28" spans="1:11" outlineLevel="2" x14ac:dyDescent="0.25">
      <c r="A28" s="206">
        <v>44500</v>
      </c>
      <c r="B28" s="28" t="s">
        <v>117</v>
      </c>
      <c r="C28" s="39">
        <v>179</v>
      </c>
      <c r="D28" s="28" t="s">
        <v>542</v>
      </c>
      <c r="E28" s="28">
        <v>6634</v>
      </c>
      <c r="F28" s="24">
        <v>58.537700000000001</v>
      </c>
      <c r="G28" s="24">
        <v>12.292916999999999</v>
      </c>
      <c r="H28" s="24">
        <v>11.975199999999999</v>
      </c>
      <c r="I28" s="24">
        <v>1.5993999999999999</v>
      </c>
      <c r="J28" s="24">
        <f t="shared" si="0"/>
        <v>11943.49934</v>
      </c>
      <c r="K28" s="28" t="s">
        <v>540</v>
      </c>
    </row>
    <row r="29" spans="1:11" outlineLevel="2" x14ac:dyDescent="0.25">
      <c r="A29" s="210">
        <v>44497</v>
      </c>
      <c r="B29" s="118" t="s">
        <v>117</v>
      </c>
      <c r="C29" s="212">
        <v>451.19119999999998</v>
      </c>
      <c r="D29" s="118" t="s">
        <v>547</v>
      </c>
      <c r="E29" s="28"/>
      <c r="F29" s="117">
        <v>65.640799999999999</v>
      </c>
      <c r="G29" s="117">
        <v>13.784567999999998</v>
      </c>
      <c r="H29" s="117">
        <v>11.975199999999999</v>
      </c>
      <c r="I29" s="117">
        <v>1.5993999999999999</v>
      </c>
      <c r="J29" s="24">
        <f t="shared" si="0"/>
        <v>33309.894198271999</v>
      </c>
      <c r="K29" s="118" t="s">
        <v>535</v>
      </c>
    </row>
    <row r="30" spans="1:11" outlineLevel="2" x14ac:dyDescent="0.25">
      <c r="A30" s="211" t="s">
        <v>550</v>
      </c>
      <c r="B30" s="208" t="s">
        <v>117</v>
      </c>
      <c r="C30" s="213">
        <v>50.01</v>
      </c>
      <c r="D30" s="208" t="s">
        <v>551</v>
      </c>
      <c r="E30" s="208" t="s">
        <v>552</v>
      </c>
      <c r="F30" s="207">
        <v>61.743189600000001</v>
      </c>
      <c r="G30" s="24">
        <v>12.966069815999999</v>
      </c>
      <c r="H30" s="24">
        <v>12.21865056317438</v>
      </c>
      <c r="I30" s="24">
        <v>1.3937217101902071</v>
      </c>
      <c r="J30" s="24">
        <f t="shared" si="0"/>
        <v>3493.5570276880053</v>
      </c>
      <c r="K30" s="28" t="s">
        <v>535</v>
      </c>
    </row>
    <row r="31" spans="1:11" outlineLevel="2" x14ac:dyDescent="0.25">
      <c r="A31" s="211" t="s">
        <v>553</v>
      </c>
      <c r="B31" s="208" t="s">
        <v>117</v>
      </c>
      <c r="C31" s="213">
        <v>300</v>
      </c>
      <c r="D31" s="208" t="s">
        <v>554</v>
      </c>
      <c r="E31" s="208" t="s">
        <v>552</v>
      </c>
      <c r="F31" s="207">
        <v>61.743189600000001</v>
      </c>
      <c r="G31" s="24">
        <v>12.966069815999999</v>
      </c>
      <c r="H31" s="24">
        <v>12.21865056317438</v>
      </c>
      <c r="I31" s="24">
        <v>1.3937217101902071</v>
      </c>
      <c r="J31" s="24">
        <f t="shared" si="0"/>
        <v>20957.150735980835</v>
      </c>
      <c r="K31" s="28" t="s">
        <v>535</v>
      </c>
    </row>
    <row r="32" spans="1:11" outlineLevel="2" x14ac:dyDescent="0.25">
      <c r="A32" s="211" t="s">
        <v>555</v>
      </c>
      <c r="B32" s="208" t="s">
        <v>117</v>
      </c>
      <c r="C32" s="213">
        <v>50.07</v>
      </c>
      <c r="D32" s="208" t="s">
        <v>551</v>
      </c>
      <c r="E32" s="208" t="s">
        <v>552</v>
      </c>
      <c r="F32" s="207">
        <v>61.743189600000001</v>
      </c>
      <c r="G32" s="24">
        <v>12.966069815999999</v>
      </c>
      <c r="H32" s="24">
        <v>12.21865056317438</v>
      </c>
      <c r="I32" s="24">
        <v>1.3937217101902071</v>
      </c>
      <c r="J32" s="24">
        <f t="shared" si="0"/>
        <v>3497.7484578352014</v>
      </c>
      <c r="K32" s="28" t="s">
        <v>535</v>
      </c>
    </row>
    <row r="33" spans="1:11" outlineLevel="2" x14ac:dyDescent="0.25">
      <c r="A33" s="211" t="s">
        <v>556</v>
      </c>
      <c r="B33" s="208" t="s">
        <v>117</v>
      </c>
      <c r="C33" s="213">
        <v>50</v>
      </c>
      <c r="D33" s="208" t="s">
        <v>551</v>
      </c>
      <c r="E33" s="208" t="s">
        <v>552</v>
      </c>
      <c r="F33" s="207">
        <v>61.743189600000001</v>
      </c>
      <c r="G33" s="24">
        <v>12.966069815999999</v>
      </c>
      <c r="H33" s="24">
        <v>12.21865056317438</v>
      </c>
      <c r="I33" s="24">
        <v>1.3937217101902071</v>
      </c>
      <c r="J33" s="24">
        <f t="shared" si="0"/>
        <v>3492.8584559968058</v>
      </c>
      <c r="K33" s="28" t="s">
        <v>535</v>
      </c>
    </row>
    <row r="34" spans="1:11" s="214" customFormat="1" outlineLevel="1" x14ac:dyDescent="0.25">
      <c r="A34" s="224"/>
      <c r="B34" s="225" t="s">
        <v>641</v>
      </c>
      <c r="C34" s="226">
        <f>SUBTOTAL(9,C20:C33)</f>
        <v>4851.2712000000001</v>
      </c>
      <c r="D34" s="725"/>
      <c r="E34" s="726"/>
      <c r="F34" s="726"/>
      <c r="G34" s="726"/>
      <c r="H34" s="726"/>
      <c r="I34" s="727"/>
      <c r="J34" s="223">
        <f>SUBTOTAL(9,J20:J33)</f>
        <v>328308.87587577285</v>
      </c>
      <c r="K34" s="221"/>
    </row>
    <row r="35" spans="1:11" outlineLevel="2" x14ac:dyDescent="0.25">
      <c r="A35" s="206">
        <v>44474</v>
      </c>
      <c r="B35" s="28" t="s">
        <v>123</v>
      </c>
      <c r="C35" s="39">
        <v>480</v>
      </c>
      <c r="D35" s="28" t="s">
        <v>539</v>
      </c>
      <c r="E35" s="28">
        <v>6556</v>
      </c>
      <c r="F35" s="24">
        <v>58.537700000000001</v>
      </c>
      <c r="G35" s="24">
        <v>12.292916999999999</v>
      </c>
      <c r="H35" s="24">
        <v>11.975199999999999</v>
      </c>
      <c r="I35" s="24">
        <v>1.5993999999999999</v>
      </c>
      <c r="J35" s="24">
        <f t="shared" si="0"/>
        <v>32027.2608</v>
      </c>
      <c r="K35" s="28" t="s">
        <v>540</v>
      </c>
    </row>
    <row r="36" spans="1:11" outlineLevel="2" x14ac:dyDescent="0.25">
      <c r="A36" s="206">
        <v>44476</v>
      </c>
      <c r="B36" s="28" t="s">
        <v>123</v>
      </c>
      <c r="C36" s="39">
        <v>536</v>
      </c>
      <c r="D36" s="28" t="s">
        <v>539</v>
      </c>
      <c r="E36" s="28">
        <v>6556</v>
      </c>
      <c r="F36" s="24">
        <v>58.537700000000001</v>
      </c>
      <c r="G36" s="24">
        <v>12.292916999999999</v>
      </c>
      <c r="H36" s="24">
        <v>11.975199999999999</v>
      </c>
      <c r="I36" s="24">
        <v>1.5993999999999999</v>
      </c>
      <c r="J36" s="24">
        <f t="shared" si="0"/>
        <v>35763.774559999998</v>
      </c>
      <c r="K36" s="28" t="s">
        <v>540</v>
      </c>
    </row>
    <row r="37" spans="1:11" outlineLevel="2" x14ac:dyDescent="0.25">
      <c r="A37" s="206">
        <v>44482</v>
      </c>
      <c r="B37" s="28" t="s">
        <v>123</v>
      </c>
      <c r="C37" s="39">
        <v>510</v>
      </c>
      <c r="D37" s="28" t="s">
        <v>541</v>
      </c>
      <c r="E37" s="28">
        <v>6600</v>
      </c>
      <c r="F37" s="24">
        <v>58.537700000000001</v>
      </c>
      <c r="G37" s="24">
        <v>12.292916999999999</v>
      </c>
      <c r="H37" s="24">
        <v>11.975199999999999</v>
      </c>
      <c r="I37" s="24">
        <v>1.5993999999999999</v>
      </c>
      <c r="J37" s="24">
        <f t="shared" si="0"/>
        <v>34028.964599999999</v>
      </c>
      <c r="K37" s="28" t="s">
        <v>540</v>
      </c>
    </row>
    <row r="38" spans="1:11" outlineLevel="2" x14ac:dyDescent="0.25">
      <c r="A38" s="206">
        <v>44486</v>
      </c>
      <c r="B38" s="28" t="s">
        <v>123</v>
      </c>
      <c r="C38" s="39">
        <v>515</v>
      </c>
      <c r="D38" s="28" t="s">
        <v>541</v>
      </c>
      <c r="E38" s="28">
        <v>6600</v>
      </c>
      <c r="F38" s="24">
        <v>58.537700000000001</v>
      </c>
      <c r="G38" s="24">
        <v>12.292916999999999</v>
      </c>
      <c r="H38" s="24">
        <v>11.975199999999999</v>
      </c>
      <c r="I38" s="24">
        <v>1.5993999999999999</v>
      </c>
      <c r="J38" s="24">
        <f t="shared" si="0"/>
        <v>34362.581900000005</v>
      </c>
      <c r="K38" s="28" t="s">
        <v>540</v>
      </c>
    </row>
    <row r="39" spans="1:11" outlineLevel="2" x14ac:dyDescent="0.25">
      <c r="A39" s="206">
        <v>44488</v>
      </c>
      <c r="B39" s="28" t="s">
        <v>123</v>
      </c>
      <c r="C39" s="39">
        <v>490</v>
      </c>
      <c r="D39" s="28" t="s">
        <v>541</v>
      </c>
      <c r="E39" s="28">
        <v>6600</v>
      </c>
      <c r="F39" s="24">
        <v>58.537700000000001</v>
      </c>
      <c r="G39" s="24">
        <v>12.292916999999999</v>
      </c>
      <c r="H39" s="24">
        <v>11.975199999999999</v>
      </c>
      <c r="I39" s="24">
        <v>1.5993999999999999</v>
      </c>
      <c r="J39" s="24">
        <f t="shared" si="0"/>
        <v>32694.4954</v>
      </c>
      <c r="K39" s="28" t="s">
        <v>540</v>
      </c>
    </row>
    <row r="40" spans="1:11" outlineLevel="2" x14ac:dyDescent="0.25">
      <c r="A40" s="206">
        <v>44494</v>
      </c>
      <c r="B40" s="28" t="s">
        <v>123</v>
      </c>
      <c r="C40" s="39">
        <v>506</v>
      </c>
      <c r="D40" s="28" t="s">
        <v>542</v>
      </c>
      <c r="E40" s="28">
        <v>6634</v>
      </c>
      <c r="F40" s="24">
        <v>58.537700000000001</v>
      </c>
      <c r="G40" s="24">
        <v>12.292916999999999</v>
      </c>
      <c r="H40" s="24">
        <v>11.975199999999999</v>
      </c>
      <c r="I40" s="24">
        <v>1.5993999999999999</v>
      </c>
      <c r="J40" s="24">
        <f t="shared" si="0"/>
        <v>33762.070760000002</v>
      </c>
      <c r="K40" s="28" t="s">
        <v>540</v>
      </c>
    </row>
    <row r="41" spans="1:11" outlineLevel="2" x14ac:dyDescent="0.25">
      <c r="A41" s="206">
        <v>44500</v>
      </c>
      <c r="B41" s="28" t="s">
        <v>123</v>
      </c>
      <c r="C41" s="39">
        <v>206</v>
      </c>
      <c r="D41" s="28" t="s">
        <v>542</v>
      </c>
      <c r="E41" s="28">
        <v>6634</v>
      </c>
      <c r="F41" s="24">
        <v>58.537700000000001</v>
      </c>
      <c r="G41" s="24">
        <v>12.292916999999999</v>
      </c>
      <c r="H41" s="24">
        <v>11.975199999999999</v>
      </c>
      <c r="I41" s="24">
        <v>1.5993999999999999</v>
      </c>
      <c r="J41" s="24">
        <f t="shared" si="0"/>
        <v>13745.03276</v>
      </c>
      <c r="K41" s="28" t="s">
        <v>540</v>
      </c>
    </row>
    <row r="42" spans="1:11" outlineLevel="2" x14ac:dyDescent="0.25">
      <c r="A42" s="210">
        <v>44497</v>
      </c>
      <c r="B42" s="118" t="s">
        <v>123</v>
      </c>
      <c r="C42" s="212">
        <v>505.01729999999998</v>
      </c>
      <c r="D42" s="118" t="s">
        <v>548</v>
      </c>
      <c r="E42" s="28"/>
      <c r="F42" s="117">
        <v>65.640799999999999</v>
      </c>
      <c r="G42" s="117">
        <v>13.784567999999998</v>
      </c>
      <c r="H42" s="117">
        <v>11.975199999999999</v>
      </c>
      <c r="I42" s="117">
        <v>1.5993999999999999</v>
      </c>
      <c r="J42" s="24">
        <f t="shared" si="0"/>
        <v>37283.689999488</v>
      </c>
      <c r="K42" s="118" t="s">
        <v>535</v>
      </c>
    </row>
    <row r="43" spans="1:11" outlineLevel="2" x14ac:dyDescent="0.25">
      <c r="A43" s="211" t="s">
        <v>557</v>
      </c>
      <c r="B43" s="208" t="s">
        <v>123</v>
      </c>
      <c r="C43" s="213">
        <v>300</v>
      </c>
      <c r="D43" s="208" t="s">
        <v>554</v>
      </c>
      <c r="E43" s="208" t="s">
        <v>552</v>
      </c>
      <c r="F43" s="207">
        <v>61.743189600000001</v>
      </c>
      <c r="G43" s="24">
        <v>12.966069815999999</v>
      </c>
      <c r="H43" s="24">
        <v>12.21865056317438</v>
      </c>
      <c r="I43" s="24">
        <v>1.3937217101902071</v>
      </c>
      <c r="J43" s="24">
        <f t="shared" si="0"/>
        <v>20957.150735980835</v>
      </c>
      <c r="K43" s="28" t="s">
        <v>535</v>
      </c>
    </row>
    <row r="44" spans="1:11" outlineLevel="2" x14ac:dyDescent="0.25">
      <c r="A44" s="211" t="s">
        <v>558</v>
      </c>
      <c r="B44" s="208" t="s">
        <v>123</v>
      </c>
      <c r="C44" s="213">
        <v>50</v>
      </c>
      <c r="D44" s="208" t="s">
        <v>551</v>
      </c>
      <c r="E44" s="208" t="s">
        <v>552</v>
      </c>
      <c r="F44" s="207">
        <v>61.743189600000001</v>
      </c>
      <c r="G44" s="24">
        <v>12.966069815999999</v>
      </c>
      <c r="H44" s="24">
        <v>12.21865056317438</v>
      </c>
      <c r="I44" s="24">
        <v>1.3937217101902071</v>
      </c>
      <c r="J44" s="24">
        <f t="shared" si="0"/>
        <v>3492.8584559968058</v>
      </c>
      <c r="K44" s="28" t="s">
        <v>535</v>
      </c>
    </row>
    <row r="45" spans="1:11" s="214" customFormat="1" outlineLevel="1" x14ac:dyDescent="0.25">
      <c r="A45" s="224"/>
      <c r="B45" s="225" t="s">
        <v>642</v>
      </c>
      <c r="C45" s="226">
        <f>SUBTOTAL(9,C35:C44)</f>
        <v>4098.0172999999995</v>
      </c>
      <c r="D45" s="725"/>
      <c r="E45" s="726"/>
      <c r="F45" s="726"/>
      <c r="G45" s="726"/>
      <c r="H45" s="726"/>
      <c r="I45" s="727"/>
      <c r="J45" s="223">
        <f>SUBTOTAL(9,J35:J44)</f>
        <v>278117.87997146562</v>
      </c>
      <c r="K45" s="221"/>
    </row>
    <row r="46" spans="1:11" outlineLevel="2" x14ac:dyDescent="0.25">
      <c r="A46" s="206">
        <v>44474</v>
      </c>
      <c r="B46" s="28" t="s">
        <v>141</v>
      </c>
      <c r="C46" s="39">
        <v>465</v>
      </c>
      <c r="D46" s="28" t="s">
        <v>539</v>
      </c>
      <c r="E46" s="28">
        <v>6556</v>
      </c>
      <c r="F46" s="24">
        <v>58.537700000000001</v>
      </c>
      <c r="G46" s="24">
        <v>12.292916999999999</v>
      </c>
      <c r="H46" s="24">
        <v>11.975199999999999</v>
      </c>
      <c r="I46" s="24">
        <v>1.5993999999999999</v>
      </c>
      <c r="J46" s="24">
        <f t="shared" si="0"/>
        <v>31026.408900000002</v>
      </c>
      <c r="K46" s="28" t="s">
        <v>540</v>
      </c>
    </row>
    <row r="47" spans="1:11" outlineLevel="2" x14ac:dyDescent="0.25">
      <c r="A47" s="206">
        <v>44476</v>
      </c>
      <c r="B47" s="28" t="s">
        <v>141</v>
      </c>
      <c r="C47" s="39">
        <v>494</v>
      </c>
      <c r="D47" s="28" t="s">
        <v>539</v>
      </c>
      <c r="E47" s="28">
        <v>6556</v>
      </c>
      <c r="F47" s="24">
        <v>58.537700000000001</v>
      </c>
      <c r="G47" s="24">
        <v>12.292916999999999</v>
      </c>
      <c r="H47" s="24">
        <v>11.975199999999999</v>
      </c>
      <c r="I47" s="24">
        <v>1.5993999999999999</v>
      </c>
      <c r="J47" s="24">
        <f t="shared" si="0"/>
        <v>32961.389240000004</v>
      </c>
      <c r="K47" s="28" t="s">
        <v>540</v>
      </c>
    </row>
    <row r="48" spans="1:11" outlineLevel="2" x14ac:dyDescent="0.25">
      <c r="A48" s="206">
        <v>44478</v>
      </c>
      <c r="B48" s="28" t="s">
        <v>141</v>
      </c>
      <c r="C48" s="39">
        <v>382</v>
      </c>
      <c r="D48" s="28" t="s">
        <v>539</v>
      </c>
      <c r="E48" s="28">
        <v>6556</v>
      </c>
      <c r="F48" s="24">
        <v>58.537700000000001</v>
      </c>
      <c r="G48" s="24">
        <v>12.292916999999999</v>
      </c>
      <c r="H48" s="24">
        <v>11.975199999999999</v>
      </c>
      <c r="I48" s="24">
        <v>1.5993999999999999</v>
      </c>
      <c r="J48" s="24">
        <f t="shared" si="0"/>
        <v>25488.361720000001</v>
      </c>
      <c r="K48" s="28" t="s">
        <v>540</v>
      </c>
    </row>
    <row r="49" spans="1:11" outlineLevel="2" x14ac:dyDescent="0.25">
      <c r="A49" s="206">
        <v>44482</v>
      </c>
      <c r="B49" s="28" t="s">
        <v>141</v>
      </c>
      <c r="C49" s="39">
        <v>458</v>
      </c>
      <c r="D49" s="28" t="s">
        <v>541</v>
      </c>
      <c r="E49" s="28">
        <v>6600</v>
      </c>
      <c r="F49" s="24">
        <v>58.537700000000001</v>
      </c>
      <c r="G49" s="24">
        <v>12.292916999999999</v>
      </c>
      <c r="H49" s="24">
        <v>11.975199999999999</v>
      </c>
      <c r="I49" s="24">
        <v>1.5993999999999999</v>
      </c>
      <c r="J49" s="24">
        <f t="shared" si="0"/>
        <v>30559.344680000002</v>
      </c>
      <c r="K49" s="28" t="s">
        <v>540</v>
      </c>
    </row>
    <row r="50" spans="1:11" outlineLevel="2" x14ac:dyDescent="0.25">
      <c r="A50" s="206">
        <v>44484</v>
      </c>
      <c r="B50" s="28" t="s">
        <v>141</v>
      </c>
      <c r="C50" s="39">
        <v>385</v>
      </c>
      <c r="D50" s="28" t="s">
        <v>541</v>
      </c>
      <c r="E50" s="28">
        <v>6600</v>
      </c>
      <c r="F50" s="24">
        <v>58.537700000000001</v>
      </c>
      <c r="G50" s="24">
        <v>12.292916999999999</v>
      </c>
      <c r="H50" s="24">
        <v>11.975199999999999</v>
      </c>
      <c r="I50" s="24">
        <v>1.5993999999999999</v>
      </c>
      <c r="J50" s="24">
        <f t="shared" si="0"/>
        <v>25688.5321</v>
      </c>
      <c r="K50" s="28" t="s">
        <v>540</v>
      </c>
    </row>
    <row r="51" spans="1:11" outlineLevel="2" x14ac:dyDescent="0.25">
      <c r="A51" s="206">
        <v>44488</v>
      </c>
      <c r="B51" s="28" t="s">
        <v>141</v>
      </c>
      <c r="C51" s="39">
        <v>384</v>
      </c>
      <c r="D51" s="28" t="s">
        <v>541</v>
      </c>
      <c r="E51" s="28">
        <v>6600</v>
      </c>
      <c r="F51" s="24">
        <v>58.537700000000001</v>
      </c>
      <c r="G51" s="24">
        <v>12.292916999999999</v>
      </c>
      <c r="H51" s="24">
        <v>11.975199999999999</v>
      </c>
      <c r="I51" s="24">
        <v>1.5993999999999999</v>
      </c>
      <c r="J51" s="24">
        <f t="shared" si="0"/>
        <v>25621.808640000003</v>
      </c>
      <c r="K51" s="28" t="s">
        <v>540</v>
      </c>
    </row>
    <row r="52" spans="1:11" outlineLevel="2" x14ac:dyDescent="0.25">
      <c r="A52" s="206">
        <v>44493</v>
      </c>
      <c r="B52" s="28" t="s">
        <v>141</v>
      </c>
      <c r="C52" s="39">
        <v>387</v>
      </c>
      <c r="D52" s="28" t="s">
        <v>542</v>
      </c>
      <c r="E52" s="28">
        <v>6634</v>
      </c>
      <c r="F52" s="24">
        <v>58.537700000000001</v>
      </c>
      <c r="G52" s="24">
        <v>12.292916999999999</v>
      </c>
      <c r="H52" s="24">
        <v>11.975199999999999</v>
      </c>
      <c r="I52" s="24">
        <v>1.5993999999999999</v>
      </c>
      <c r="J52" s="24">
        <f t="shared" si="0"/>
        <v>25821.979020000002</v>
      </c>
      <c r="K52" s="28" t="s">
        <v>540</v>
      </c>
    </row>
    <row r="53" spans="1:11" outlineLevel="2" x14ac:dyDescent="0.25">
      <c r="A53" s="206">
        <v>44495</v>
      </c>
      <c r="B53" s="28" t="s">
        <v>141</v>
      </c>
      <c r="C53" s="39">
        <v>434</v>
      </c>
      <c r="D53" s="28" t="s">
        <v>542</v>
      </c>
      <c r="E53" s="28">
        <v>6634</v>
      </c>
      <c r="F53" s="24">
        <v>58.537700000000001</v>
      </c>
      <c r="G53" s="24">
        <v>12.292916999999999</v>
      </c>
      <c r="H53" s="24">
        <v>11.975199999999999</v>
      </c>
      <c r="I53" s="24">
        <v>1.5993999999999999</v>
      </c>
      <c r="J53" s="24">
        <f t="shared" si="0"/>
        <v>28957.981640000002</v>
      </c>
      <c r="K53" s="28" t="s">
        <v>540</v>
      </c>
    </row>
    <row r="54" spans="1:11" outlineLevel="2" x14ac:dyDescent="0.25">
      <c r="A54" s="210">
        <v>44498</v>
      </c>
      <c r="B54" s="118" t="s">
        <v>141</v>
      </c>
      <c r="C54" s="212">
        <v>462.00823268400001</v>
      </c>
      <c r="D54" s="118" t="s">
        <v>545</v>
      </c>
      <c r="E54" s="28"/>
      <c r="F54" s="117">
        <v>65.640799999999999</v>
      </c>
      <c r="G54" s="117">
        <v>13.784567999999998</v>
      </c>
      <c r="H54" s="117">
        <v>11.975199999999999</v>
      </c>
      <c r="I54" s="117">
        <v>1.5993999999999999</v>
      </c>
      <c r="J54" s="24">
        <f t="shared" si="0"/>
        <v>34108.478510739289</v>
      </c>
      <c r="K54" s="118" t="s">
        <v>535</v>
      </c>
    </row>
    <row r="55" spans="1:11" s="214" customFormat="1" outlineLevel="1" x14ac:dyDescent="0.25">
      <c r="A55" s="220"/>
      <c r="B55" s="221" t="s">
        <v>643</v>
      </c>
      <c r="C55" s="222">
        <f>SUBTOTAL(9,C46:C54)</f>
        <v>3851.0082326840002</v>
      </c>
      <c r="D55" s="718"/>
      <c r="E55" s="719"/>
      <c r="F55" s="719"/>
      <c r="G55" s="719"/>
      <c r="H55" s="719"/>
      <c r="I55" s="720"/>
      <c r="J55" s="223">
        <f>SUBTOTAL(9,J46:J54)</f>
        <v>260234.28445073933</v>
      </c>
      <c r="K55" s="221"/>
    </row>
    <row r="56" spans="1:11" outlineLevel="2" x14ac:dyDescent="0.25">
      <c r="A56" s="206">
        <v>44471</v>
      </c>
      <c r="B56" s="28" t="s">
        <v>146</v>
      </c>
      <c r="C56" s="39">
        <v>332</v>
      </c>
      <c r="D56" s="28" t="s">
        <v>534</v>
      </c>
      <c r="E56" s="28">
        <v>6561</v>
      </c>
      <c r="F56" s="24">
        <v>58.497399999999999</v>
      </c>
      <c r="G56" s="24">
        <v>12.284454</v>
      </c>
      <c r="H56" s="24">
        <v>11.975199999999999</v>
      </c>
      <c r="I56" s="24">
        <v>1.5993999999999999</v>
      </c>
      <c r="J56" s="24">
        <f t="shared" si="0"/>
        <v>22138.809120000002</v>
      </c>
      <c r="K56" s="28" t="s">
        <v>535</v>
      </c>
    </row>
    <row r="57" spans="1:11" outlineLevel="2" x14ac:dyDescent="0.25">
      <c r="A57" s="206">
        <v>44475</v>
      </c>
      <c r="B57" s="28" t="s">
        <v>146</v>
      </c>
      <c r="C57" s="39">
        <v>311</v>
      </c>
      <c r="D57" s="28" t="s">
        <v>536</v>
      </c>
      <c r="E57" s="28">
        <v>6562</v>
      </c>
      <c r="F57" s="24">
        <v>58.497399999999999</v>
      </c>
      <c r="G57" s="24">
        <v>12.284454</v>
      </c>
      <c r="H57" s="24">
        <v>11.975199999999999</v>
      </c>
      <c r="I57" s="24">
        <v>1.5993999999999999</v>
      </c>
      <c r="J57" s="24">
        <f t="shared" si="0"/>
        <v>20738.462759999999</v>
      </c>
      <c r="K57" s="28" t="s">
        <v>535</v>
      </c>
    </row>
    <row r="58" spans="1:11" outlineLevel="2" x14ac:dyDescent="0.25">
      <c r="A58" s="206">
        <v>44477</v>
      </c>
      <c r="B58" s="28" t="s">
        <v>146</v>
      </c>
      <c r="C58" s="39">
        <v>327</v>
      </c>
      <c r="D58" s="28" t="s">
        <v>537</v>
      </c>
      <c r="E58" s="28">
        <v>6574</v>
      </c>
      <c r="F58" s="24">
        <v>58.497399999999999</v>
      </c>
      <c r="G58" s="24">
        <v>12.284454</v>
      </c>
      <c r="H58" s="24">
        <v>11.975199999999999</v>
      </c>
      <c r="I58" s="24">
        <v>1.5993999999999999</v>
      </c>
      <c r="J58" s="24">
        <f t="shared" si="0"/>
        <v>21805.393319999999</v>
      </c>
      <c r="K58" s="28" t="s">
        <v>535</v>
      </c>
    </row>
    <row r="59" spans="1:11" outlineLevel="2" x14ac:dyDescent="0.25">
      <c r="A59" s="206">
        <v>44486</v>
      </c>
      <c r="B59" s="28" t="s">
        <v>146</v>
      </c>
      <c r="C59" s="39">
        <v>293</v>
      </c>
      <c r="D59" s="28" t="s">
        <v>541</v>
      </c>
      <c r="E59" s="28">
        <v>6600</v>
      </c>
      <c r="F59" s="24">
        <v>58.537700000000001</v>
      </c>
      <c r="G59" s="24">
        <v>12.292916999999999</v>
      </c>
      <c r="H59" s="24">
        <v>11.975199999999999</v>
      </c>
      <c r="I59" s="24">
        <v>1.5993999999999999</v>
      </c>
      <c r="J59" s="24">
        <f t="shared" si="0"/>
        <v>19549.97378</v>
      </c>
      <c r="K59" s="28" t="s">
        <v>540</v>
      </c>
    </row>
    <row r="60" spans="1:11" outlineLevel="2" x14ac:dyDescent="0.25">
      <c r="A60" s="211" t="s">
        <v>559</v>
      </c>
      <c r="B60" s="208" t="s">
        <v>146</v>
      </c>
      <c r="C60" s="213">
        <v>152.87</v>
      </c>
      <c r="D60" s="208" t="s">
        <v>560</v>
      </c>
      <c r="E60" s="208" t="s">
        <v>552</v>
      </c>
      <c r="F60" s="207">
        <v>61.743189600000001</v>
      </c>
      <c r="G60" s="24">
        <v>12.966069815999999</v>
      </c>
      <c r="H60" s="24">
        <v>12.21865056317438</v>
      </c>
      <c r="I60" s="24">
        <v>1.3937217101902071</v>
      </c>
      <c r="J60" s="24">
        <f t="shared" si="0"/>
        <v>10679.065443364634</v>
      </c>
      <c r="K60" s="28" t="s">
        <v>535</v>
      </c>
    </row>
    <row r="61" spans="1:11" outlineLevel="2" x14ac:dyDescent="0.25">
      <c r="A61" s="211" t="s">
        <v>561</v>
      </c>
      <c r="B61" s="208" t="s">
        <v>146</v>
      </c>
      <c r="C61" s="213">
        <v>178.07</v>
      </c>
      <c r="D61" s="208" t="s">
        <v>562</v>
      </c>
      <c r="E61" s="208" t="s">
        <v>563</v>
      </c>
      <c r="F61" s="207">
        <v>62.270101099999998</v>
      </c>
      <c r="G61" s="24">
        <v>13.076721230999999</v>
      </c>
      <c r="H61" s="24">
        <v>12.21865056317438</v>
      </c>
      <c r="I61" s="24">
        <v>1.3937217101902071</v>
      </c>
      <c r="J61" s="24">
        <f t="shared" si="0"/>
        <v>12533.293235992023</v>
      </c>
      <c r="K61" s="28" t="s">
        <v>535</v>
      </c>
    </row>
    <row r="62" spans="1:11" outlineLevel="2" x14ac:dyDescent="0.25">
      <c r="A62" s="211" t="s">
        <v>564</v>
      </c>
      <c r="B62" s="208" t="s">
        <v>146</v>
      </c>
      <c r="C62" s="213">
        <v>150</v>
      </c>
      <c r="D62" s="208" t="s">
        <v>565</v>
      </c>
      <c r="E62" s="208" t="s">
        <v>563</v>
      </c>
      <c r="F62" s="207">
        <v>62.270101099999998</v>
      </c>
      <c r="G62" s="24">
        <v>13.076721230999999</v>
      </c>
      <c r="H62" s="24">
        <v>12.21865056317438</v>
      </c>
      <c r="I62" s="24">
        <v>1.3937217101902071</v>
      </c>
      <c r="J62" s="24">
        <f t="shared" si="0"/>
        <v>10557.612092990417</v>
      </c>
      <c r="K62" s="28" t="s">
        <v>535</v>
      </c>
    </row>
    <row r="63" spans="1:11" outlineLevel="2" x14ac:dyDescent="0.25">
      <c r="A63" s="211" t="s">
        <v>566</v>
      </c>
      <c r="B63" s="208" t="s">
        <v>146</v>
      </c>
      <c r="C63" s="213">
        <v>163.38999999999999</v>
      </c>
      <c r="D63" s="208" t="s">
        <v>560</v>
      </c>
      <c r="E63" s="208" t="s">
        <v>552</v>
      </c>
      <c r="F63" s="207">
        <v>61.743189600000001</v>
      </c>
      <c r="G63" s="24">
        <v>12.966069815999999</v>
      </c>
      <c r="H63" s="24">
        <v>12.21865056317438</v>
      </c>
      <c r="I63" s="24">
        <v>1.3937217101902071</v>
      </c>
      <c r="J63" s="24">
        <f t="shared" si="0"/>
        <v>11413.962862506361</v>
      </c>
      <c r="K63" s="28" t="s">
        <v>535</v>
      </c>
    </row>
    <row r="64" spans="1:11" outlineLevel="2" x14ac:dyDescent="0.25">
      <c r="A64" s="211" t="s">
        <v>567</v>
      </c>
      <c r="B64" s="208" t="s">
        <v>146</v>
      </c>
      <c r="C64" s="213">
        <v>177.01</v>
      </c>
      <c r="D64" s="208" t="s">
        <v>560</v>
      </c>
      <c r="E64" s="208" t="s">
        <v>552</v>
      </c>
      <c r="F64" s="207">
        <v>61.743189600000001</v>
      </c>
      <c r="G64" s="24">
        <v>12.966069815999999</v>
      </c>
      <c r="H64" s="24">
        <v>12.21865056317438</v>
      </c>
      <c r="I64" s="24">
        <v>1.3937217101902071</v>
      </c>
      <c r="J64" s="24">
        <f t="shared" si="0"/>
        <v>12365.417505919891</v>
      </c>
      <c r="K64" s="28" t="s">
        <v>535</v>
      </c>
    </row>
    <row r="65" spans="1:11" outlineLevel="2" x14ac:dyDescent="0.25">
      <c r="A65" s="211" t="s">
        <v>568</v>
      </c>
      <c r="B65" s="208" t="s">
        <v>146</v>
      </c>
      <c r="C65" s="213">
        <v>150</v>
      </c>
      <c r="D65" s="208" t="s">
        <v>565</v>
      </c>
      <c r="E65" s="208" t="s">
        <v>563</v>
      </c>
      <c r="F65" s="207">
        <v>62.270101099999998</v>
      </c>
      <c r="G65" s="24">
        <v>13.076721230999999</v>
      </c>
      <c r="H65" s="24">
        <v>12.21865056317438</v>
      </c>
      <c r="I65" s="24">
        <v>1.3937217101902071</v>
      </c>
      <c r="J65" s="24">
        <f t="shared" si="0"/>
        <v>10557.612092990417</v>
      </c>
      <c r="K65" s="28" t="s">
        <v>535</v>
      </c>
    </row>
    <row r="66" spans="1:11" outlineLevel="2" x14ac:dyDescent="0.25">
      <c r="A66" s="211" t="s">
        <v>569</v>
      </c>
      <c r="B66" s="208" t="s">
        <v>146</v>
      </c>
      <c r="C66" s="213">
        <v>150</v>
      </c>
      <c r="D66" s="208" t="s">
        <v>565</v>
      </c>
      <c r="E66" s="208" t="s">
        <v>563</v>
      </c>
      <c r="F66" s="207">
        <v>62.270101099999998</v>
      </c>
      <c r="G66" s="24">
        <v>13.076721230999999</v>
      </c>
      <c r="H66" s="24">
        <v>12.21865056317438</v>
      </c>
      <c r="I66" s="24">
        <v>1.3937217101902071</v>
      </c>
      <c r="J66" s="24">
        <f t="shared" si="0"/>
        <v>10557.612092990417</v>
      </c>
      <c r="K66" s="28" t="s">
        <v>535</v>
      </c>
    </row>
    <row r="67" spans="1:11" outlineLevel="2" x14ac:dyDescent="0.25">
      <c r="A67" s="211" t="s">
        <v>570</v>
      </c>
      <c r="B67" s="208" t="s">
        <v>146</v>
      </c>
      <c r="C67" s="213">
        <v>150</v>
      </c>
      <c r="D67" s="208" t="s">
        <v>571</v>
      </c>
      <c r="E67" s="208" t="s">
        <v>563</v>
      </c>
      <c r="F67" s="207">
        <v>62.270101099999998</v>
      </c>
      <c r="G67" s="24">
        <v>13.076721230999999</v>
      </c>
      <c r="H67" s="24">
        <v>12.21865056317438</v>
      </c>
      <c r="I67" s="24">
        <v>1.3937217101902071</v>
      </c>
      <c r="J67" s="24">
        <f t="shared" si="0"/>
        <v>10557.612092990417</v>
      </c>
      <c r="K67" s="28" t="s">
        <v>535</v>
      </c>
    </row>
    <row r="68" spans="1:11" outlineLevel="2" x14ac:dyDescent="0.25">
      <c r="A68" s="206">
        <v>44483</v>
      </c>
      <c r="B68" s="28" t="s">
        <v>146</v>
      </c>
      <c r="C68" s="39">
        <v>268</v>
      </c>
      <c r="D68" s="28" t="s">
        <v>633</v>
      </c>
      <c r="E68" s="28">
        <v>6713</v>
      </c>
      <c r="F68" s="24">
        <v>60.876800000000003</v>
      </c>
      <c r="G68" s="24">
        <v>12.784128000000001</v>
      </c>
      <c r="H68" s="24">
        <v>12.826000000000001</v>
      </c>
      <c r="I68" s="24">
        <v>1.4631000000000001</v>
      </c>
      <c r="J68" s="24">
        <f t="shared" si="0"/>
        <v>18597.6456</v>
      </c>
      <c r="K68" s="28" t="s">
        <v>535</v>
      </c>
    </row>
    <row r="69" spans="1:11" outlineLevel="2" x14ac:dyDescent="0.25">
      <c r="A69" s="206">
        <v>44488</v>
      </c>
      <c r="B69" s="28" t="s">
        <v>146</v>
      </c>
      <c r="C69" s="39">
        <v>163</v>
      </c>
      <c r="D69" s="28" t="s">
        <v>634</v>
      </c>
      <c r="E69" s="28">
        <v>6715</v>
      </c>
      <c r="F69" s="24">
        <v>60.876800000000003</v>
      </c>
      <c r="G69" s="24">
        <v>12.784128000000001</v>
      </c>
      <c r="H69" s="24">
        <v>12.826000000000001</v>
      </c>
      <c r="I69" s="24">
        <v>1.4631000000000001</v>
      </c>
      <c r="J69" s="24">
        <f t="shared" si="0"/>
        <v>11311.2546</v>
      </c>
      <c r="K69" s="28" t="s">
        <v>535</v>
      </c>
    </row>
    <row r="70" spans="1:11" outlineLevel="2" x14ac:dyDescent="0.25">
      <c r="A70" s="206">
        <v>44490</v>
      </c>
      <c r="B70" s="28" t="s">
        <v>146</v>
      </c>
      <c r="C70" s="39">
        <v>335</v>
      </c>
      <c r="D70" s="28" t="s">
        <v>635</v>
      </c>
      <c r="E70" s="28">
        <v>6716</v>
      </c>
      <c r="F70" s="24">
        <v>60.876800000000003</v>
      </c>
      <c r="G70" s="24">
        <v>12.784128000000001</v>
      </c>
      <c r="H70" s="24">
        <v>12.826000000000001</v>
      </c>
      <c r="I70" s="24">
        <v>1.4631000000000001</v>
      </c>
      <c r="J70" s="24">
        <f t="shared" si="0"/>
        <v>23247.057000000001</v>
      </c>
      <c r="K70" s="28" t="s">
        <v>535</v>
      </c>
    </row>
    <row r="71" spans="1:11" outlineLevel="2" x14ac:dyDescent="0.25">
      <c r="A71" s="206">
        <v>44493</v>
      </c>
      <c r="B71" s="28" t="s">
        <v>146</v>
      </c>
      <c r="C71" s="39">
        <v>333</v>
      </c>
      <c r="D71" s="28" t="s">
        <v>636</v>
      </c>
      <c r="E71" s="28">
        <v>6728</v>
      </c>
      <c r="F71" s="24">
        <v>60.876800000000003</v>
      </c>
      <c r="G71" s="24">
        <v>12.784128000000001</v>
      </c>
      <c r="H71" s="24">
        <v>12.826000000000001</v>
      </c>
      <c r="I71" s="24">
        <v>1.4631000000000001</v>
      </c>
      <c r="J71" s="24">
        <f t="shared" si="0"/>
        <v>23108.268599999999</v>
      </c>
      <c r="K71" s="28" t="s">
        <v>535</v>
      </c>
    </row>
    <row r="72" spans="1:11" outlineLevel="2" x14ac:dyDescent="0.25">
      <c r="A72" s="206">
        <v>44495</v>
      </c>
      <c r="B72" s="28" t="s">
        <v>146</v>
      </c>
      <c r="C72" s="39">
        <v>324</v>
      </c>
      <c r="D72" s="28" t="s">
        <v>636</v>
      </c>
      <c r="E72" s="28">
        <v>6728</v>
      </c>
      <c r="F72" s="24">
        <v>60.876800000000003</v>
      </c>
      <c r="G72" s="24">
        <v>12.784128000000001</v>
      </c>
      <c r="H72" s="24">
        <v>12.826000000000001</v>
      </c>
      <c r="I72" s="24">
        <v>1.4631000000000001</v>
      </c>
      <c r="J72" s="24">
        <f t="shared" si="0"/>
        <v>22483.720799999999</v>
      </c>
      <c r="K72" s="28" t="s">
        <v>535</v>
      </c>
    </row>
    <row r="73" spans="1:11" outlineLevel="2" x14ac:dyDescent="0.25">
      <c r="A73" s="206">
        <v>44497</v>
      </c>
      <c r="B73" s="28" t="s">
        <v>146</v>
      </c>
      <c r="C73" s="39">
        <v>120</v>
      </c>
      <c r="D73" s="28" t="s">
        <v>637</v>
      </c>
      <c r="E73" s="28">
        <v>6729</v>
      </c>
      <c r="F73" s="24">
        <v>60.876800000000003</v>
      </c>
      <c r="G73" s="24">
        <v>12.784128000000001</v>
      </c>
      <c r="H73" s="24">
        <v>12.826000000000001</v>
      </c>
      <c r="I73" s="24">
        <v>1.4631000000000001</v>
      </c>
      <c r="J73" s="24">
        <f t="shared" ref="J73:J143" si="1">C73*(F73+H73*0.55+I73)</f>
        <v>8327.3040000000001</v>
      </c>
      <c r="K73" s="28" t="s">
        <v>535</v>
      </c>
    </row>
    <row r="74" spans="1:11" outlineLevel="2" x14ac:dyDescent="0.25">
      <c r="A74" s="206">
        <v>44498</v>
      </c>
      <c r="B74" s="28" t="s">
        <v>146</v>
      </c>
      <c r="C74" s="39">
        <v>364</v>
      </c>
      <c r="D74" s="28" t="s">
        <v>637</v>
      </c>
      <c r="E74" s="28">
        <v>6729</v>
      </c>
      <c r="F74" s="24">
        <v>60.876800000000003</v>
      </c>
      <c r="G74" s="24">
        <v>12.784128000000001</v>
      </c>
      <c r="H74" s="24">
        <v>12.826000000000001</v>
      </c>
      <c r="I74" s="24">
        <v>1.4631000000000001</v>
      </c>
      <c r="J74" s="24">
        <f t="shared" si="1"/>
        <v>25259.488799999999</v>
      </c>
      <c r="K74" s="28" t="s">
        <v>535</v>
      </c>
    </row>
    <row r="75" spans="1:11" s="214" customFormat="1" outlineLevel="1" x14ac:dyDescent="0.25">
      <c r="A75" s="220"/>
      <c r="B75" s="221" t="s">
        <v>644</v>
      </c>
      <c r="C75" s="222">
        <f>SUBTOTAL(9,C56:C74)</f>
        <v>4441.34</v>
      </c>
      <c r="D75" s="718"/>
      <c r="E75" s="719"/>
      <c r="F75" s="719"/>
      <c r="G75" s="719"/>
      <c r="H75" s="719"/>
      <c r="I75" s="720"/>
      <c r="J75" s="223">
        <f>SUBTOTAL(9,J56:J74)</f>
        <v>305789.56579974457</v>
      </c>
      <c r="K75" s="221"/>
    </row>
    <row r="76" spans="1:11" hidden="1" outlineLevel="2" x14ac:dyDescent="0.25">
      <c r="A76" s="206">
        <v>44471</v>
      </c>
      <c r="B76" s="28" t="s">
        <v>150</v>
      </c>
      <c r="C76" s="39">
        <v>501</v>
      </c>
      <c r="D76" s="28" t="s">
        <v>534</v>
      </c>
      <c r="E76" s="28">
        <v>6561</v>
      </c>
      <c r="F76" s="24">
        <v>58.497399999999999</v>
      </c>
      <c r="G76" s="24">
        <v>12.284454</v>
      </c>
      <c r="H76" s="24">
        <v>11.975199999999999</v>
      </c>
      <c r="I76" s="24">
        <v>1.5993999999999999</v>
      </c>
      <c r="J76" s="24">
        <f t="shared" si="1"/>
        <v>33408.263160000002</v>
      </c>
      <c r="K76" s="28" t="s">
        <v>535</v>
      </c>
    </row>
    <row r="77" spans="1:11" hidden="1" outlineLevel="2" x14ac:dyDescent="0.25">
      <c r="A77" s="206">
        <v>44481</v>
      </c>
      <c r="B77" s="28" t="s">
        <v>150</v>
      </c>
      <c r="C77" s="39">
        <v>290</v>
      </c>
      <c r="D77" s="28" t="s">
        <v>538</v>
      </c>
      <c r="E77" s="28">
        <v>6575</v>
      </c>
      <c r="F77" s="24">
        <v>58.497399999999999</v>
      </c>
      <c r="G77" s="24">
        <v>12.284454</v>
      </c>
      <c r="H77" s="24">
        <v>11.975199999999999</v>
      </c>
      <c r="I77" s="24">
        <v>1.5993999999999999</v>
      </c>
      <c r="J77" s="24">
        <f t="shared" si="1"/>
        <v>19338.116399999999</v>
      </c>
      <c r="K77" s="28" t="s">
        <v>535</v>
      </c>
    </row>
    <row r="78" spans="1:11" hidden="1" outlineLevel="2" x14ac:dyDescent="0.25">
      <c r="A78" s="211" t="s">
        <v>572</v>
      </c>
      <c r="B78" s="208" t="s">
        <v>150</v>
      </c>
      <c r="C78" s="213">
        <v>448</v>
      </c>
      <c r="D78" s="208" t="s">
        <v>573</v>
      </c>
      <c r="E78" s="208" t="s">
        <v>552</v>
      </c>
      <c r="F78" s="207">
        <v>61.743189600000001</v>
      </c>
      <c r="G78" s="24">
        <v>12.966069815999999</v>
      </c>
      <c r="H78" s="24">
        <v>12.21865056317438</v>
      </c>
      <c r="I78" s="24">
        <v>1.3937217101902071</v>
      </c>
      <c r="J78" s="24">
        <f t="shared" si="1"/>
        <v>31296.011765731382</v>
      </c>
      <c r="K78" s="28" t="s">
        <v>535</v>
      </c>
    </row>
    <row r="79" spans="1:11" hidden="1" outlineLevel="2" x14ac:dyDescent="0.25">
      <c r="A79" s="211" t="s">
        <v>574</v>
      </c>
      <c r="B79" s="208" t="s">
        <v>150</v>
      </c>
      <c r="C79" s="213">
        <v>447.02</v>
      </c>
      <c r="D79" s="208" t="s">
        <v>575</v>
      </c>
      <c r="E79" s="208" t="s">
        <v>552</v>
      </c>
      <c r="F79" s="207">
        <v>61.743189600000001</v>
      </c>
      <c r="G79" s="24">
        <v>12.966069815999999</v>
      </c>
      <c r="H79" s="24">
        <v>12.21865056317438</v>
      </c>
      <c r="I79" s="24">
        <v>1.3937217101902071</v>
      </c>
      <c r="J79" s="24">
        <f t="shared" si="1"/>
        <v>31227.551739993844</v>
      </c>
      <c r="K79" s="28" t="s">
        <v>535</v>
      </c>
    </row>
    <row r="80" spans="1:11" hidden="1" outlineLevel="2" x14ac:dyDescent="0.25">
      <c r="A80" s="211" t="s">
        <v>576</v>
      </c>
      <c r="B80" s="208" t="s">
        <v>150</v>
      </c>
      <c r="C80" s="213">
        <v>519.01</v>
      </c>
      <c r="D80" s="208" t="s">
        <v>577</v>
      </c>
      <c r="E80" s="208" t="s">
        <v>552</v>
      </c>
      <c r="F80" s="207">
        <v>61.743189600000001</v>
      </c>
      <c r="G80" s="24">
        <v>12.966069815999999</v>
      </c>
      <c r="H80" s="24">
        <v>12.21865056317438</v>
      </c>
      <c r="I80" s="24">
        <v>1.3937217101902071</v>
      </c>
      <c r="J80" s="24">
        <f t="shared" si="1"/>
        <v>36256.569344938041</v>
      </c>
      <c r="K80" s="28" t="s">
        <v>535</v>
      </c>
    </row>
    <row r="81" spans="1:11" hidden="1" outlineLevel="2" x14ac:dyDescent="0.25">
      <c r="A81" s="206">
        <v>44483</v>
      </c>
      <c r="B81" s="28" t="s">
        <v>150</v>
      </c>
      <c r="C81" s="39">
        <v>413</v>
      </c>
      <c r="D81" s="28" t="s">
        <v>633</v>
      </c>
      <c r="E81" s="28">
        <v>6713</v>
      </c>
      <c r="F81" s="24">
        <v>60.876800000000003</v>
      </c>
      <c r="G81" s="24">
        <v>12.784128000000001</v>
      </c>
      <c r="H81" s="24">
        <v>12.826000000000001</v>
      </c>
      <c r="I81" s="24">
        <v>1.4631000000000001</v>
      </c>
      <c r="J81" s="24">
        <f t="shared" si="1"/>
        <v>28659.804599999999</v>
      </c>
      <c r="K81" s="28" t="s">
        <v>535</v>
      </c>
    </row>
    <row r="82" spans="1:11" hidden="1" outlineLevel="2" x14ac:dyDescent="0.25">
      <c r="A82" s="206">
        <v>44485</v>
      </c>
      <c r="B82" s="28" t="s">
        <v>150</v>
      </c>
      <c r="C82" s="39">
        <v>453</v>
      </c>
      <c r="D82" s="28" t="s">
        <v>633</v>
      </c>
      <c r="E82" s="28">
        <v>6713</v>
      </c>
      <c r="F82" s="24">
        <v>60.876800000000003</v>
      </c>
      <c r="G82" s="24">
        <v>12.784128000000001</v>
      </c>
      <c r="H82" s="24">
        <v>12.826000000000001</v>
      </c>
      <c r="I82" s="24">
        <v>1.4631000000000001</v>
      </c>
      <c r="J82" s="24">
        <f t="shared" si="1"/>
        <v>31435.5726</v>
      </c>
      <c r="K82" s="28" t="s">
        <v>535</v>
      </c>
    </row>
    <row r="83" spans="1:11" hidden="1" outlineLevel="2" x14ac:dyDescent="0.25">
      <c r="A83" s="206">
        <v>44488</v>
      </c>
      <c r="B83" s="28" t="s">
        <v>150</v>
      </c>
      <c r="C83" s="39">
        <v>540</v>
      </c>
      <c r="D83" s="28" t="s">
        <v>634</v>
      </c>
      <c r="E83" s="28">
        <v>6715</v>
      </c>
      <c r="F83" s="24">
        <v>60.876800000000003</v>
      </c>
      <c r="G83" s="24">
        <v>12.784128000000001</v>
      </c>
      <c r="H83" s="24">
        <v>12.826000000000001</v>
      </c>
      <c r="I83" s="24">
        <v>1.4631000000000001</v>
      </c>
      <c r="J83" s="24">
        <f t="shared" si="1"/>
        <v>37472.868000000002</v>
      </c>
      <c r="K83" s="28" t="s">
        <v>535</v>
      </c>
    </row>
    <row r="84" spans="1:11" hidden="1" outlineLevel="2" x14ac:dyDescent="0.25">
      <c r="A84" s="206">
        <v>44490</v>
      </c>
      <c r="B84" s="28" t="s">
        <v>150</v>
      </c>
      <c r="C84" s="39">
        <v>50</v>
      </c>
      <c r="D84" s="28" t="s">
        <v>635</v>
      </c>
      <c r="E84" s="28">
        <v>6716</v>
      </c>
      <c r="F84" s="24">
        <v>60.876800000000003</v>
      </c>
      <c r="G84" s="24">
        <v>12.784128000000001</v>
      </c>
      <c r="H84" s="24">
        <v>12.826000000000001</v>
      </c>
      <c r="I84" s="24">
        <v>1.4631000000000001</v>
      </c>
      <c r="J84" s="24">
        <f t="shared" si="1"/>
        <v>3469.71</v>
      </c>
      <c r="K84" s="28" t="s">
        <v>535</v>
      </c>
    </row>
    <row r="85" spans="1:11" hidden="1" outlineLevel="2" x14ac:dyDescent="0.25">
      <c r="A85" s="206">
        <v>44495</v>
      </c>
      <c r="B85" s="28" t="s">
        <v>150</v>
      </c>
      <c r="C85" s="39">
        <v>497</v>
      </c>
      <c r="D85" s="28" t="s">
        <v>636</v>
      </c>
      <c r="E85" s="28">
        <v>6728</v>
      </c>
      <c r="F85" s="24">
        <v>60.876800000000003</v>
      </c>
      <c r="G85" s="24">
        <v>12.784128000000001</v>
      </c>
      <c r="H85" s="24">
        <v>12.826000000000001</v>
      </c>
      <c r="I85" s="24">
        <v>1.4631000000000001</v>
      </c>
      <c r="J85" s="24">
        <f t="shared" si="1"/>
        <v>34488.917399999998</v>
      </c>
      <c r="K85" s="28" t="s">
        <v>535</v>
      </c>
    </row>
    <row r="86" spans="1:11" hidden="1" outlineLevel="2" x14ac:dyDescent="0.25">
      <c r="A86" s="206">
        <v>44497</v>
      </c>
      <c r="B86" s="28" t="s">
        <v>150</v>
      </c>
      <c r="C86" s="39">
        <v>476</v>
      </c>
      <c r="D86" s="28" t="s">
        <v>637</v>
      </c>
      <c r="E86" s="28">
        <v>6729</v>
      </c>
      <c r="F86" s="24">
        <v>60.876800000000003</v>
      </c>
      <c r="G86" s="24">
        <v>12.784128000000001</v>
      </c>
      <c r="H86" s="24">
        <v>12.826000000000001</v>
      </c>
      <c r="I86" s="24">
        <v>1.4631000000000001</v>
      </c>
      <c r="J86" s="24">
        <f t="shared" si="1"/>
        <v>33031.639199999998</v>
      </c>
      <c r="K86" s="28" t="s">
        <v>535</v>
      </c>
    </row>
    <row r="87" spans="1:11" hidden="1" outlineLevel="2" x14ac:dyDescent="0.25">
      <c r="A87" s="206">
        <v>44500</v>
      </c>
      <c r="B87" s="28" t="s">
        <v>150</v>
      </c>
      <c r="C87" s="39">
        <v>474</v>
      </c>
      <c r="D87" s="28" t="s">
        <v>637</v>
      </c>
      <c r="E87" s="28">
        <v>6729</v>
      </c>
      <c r="F87" s="24">
        <v>60.876800000000003</v>
      </c>
      <c r="G87" s="24">
        <v>12.784128000000001</v>
      </c>
      <c r="H87" s="24">
        <v>12.826000000000001</v>
      </c>
      <c r="I87" s="24">
        <v>1.4631000000000001</v>
      </c>
      <c r="J87" s="24">
        <f t="shared" si="1"/>
        <v>32892.8508</v>
      </c>
      <c r="K87" s="28" t="s">
        <v>535</v>
      </c>
    </row>
    <row r="88" spans="1:11" s="214" customFormat="1" outlineLevel="1" collapsed="1" x14ac:dyDescent="0.25">
      <c r="A88" s="220"/>
      <c r="B88" s="221" t="s">
        <v>645</v>
      </c>
      <c r="C88" s="222">
        <f>SUBTOTAL(9,C76:C87)</f>
        <v>5108.03</v>
      </c>
      <c r="D88" s="718"/>
      <c r="E88" s="719"/>
      <c r="F88" s="719"/>
      <c r="G88" s="719"/>
      <c r="H88" s="719"/>
      <c r="I88" s="720"/>
      <c r="J88" s="223">
        <f>SUBTOTAL(9,J76:J87)</f>
        <v>352977.87501066329</v>
      </c>
      <c r="K88" s="221"/>
    </row>
    <row r="89" spans="1:11" hidden="1" outlineLevel="2" x14ac:dyDescent="0.25">
      <c r="A89" s="206">
        <v>44474</v>
      </c>
      <c r="B89" s="28" t="s">
        <v>174</v>
      </c>
      <c r="C89" s="39">
        <v>370</v>
      </c>
      <c r="D89" s="28" t="s">
        <v>536</v>
      </c>
      <c r="E89" s="28">
        <v>6562</v>
      </c>
      <c r="F89" s="24">
        <v>58.497399999999999</v>
      </c>
      <c r="G89" s="24">
        <v>12.284454</v>
      </c>
      <c r="H89" s="24">
        <v>11.975199999999999</v>
      </c>
      <c r="I89" s="24">
        <v>1.5993999999999999</v>
      </c>
      <c r="J89" s="24">
        <f t="shared" si="1"/>
        <v>24672.769199999999</v>
      </c>
      <c r="K89" s="28" t="s">
        <v>535</v>
      </c>
    </row>
    <row r="90" spans="1:11" hidden="1" outlineLevel="2" x14ac:dyDescent="0.25">
      <c r="A90" s="206">
        <v>44475</v>
      </c>
      <c r="B90" s="28" t="s">
        <v>174</v>
      </c>
      <c r="C90" s="39">
        <v>200</v>
      </c>
      <c r="D90" s="28" t="s">
        <v>536</v>
      </c>
      <c r="E90" s="28">
        <v>6562</v>
      </c>
      <c r="F90" s="24">
        <v>58.497399999999999</v>
      </c>
      <c r="G90" s="24">
        <v>12.284454</v>
      </c>
      <c r="H90" s="24">
        <v>11.975199999999999</v>
      </c>
      <c r="I90" s="24">
        <v>1.5993999999999999</v>
      </c>
      <c r="J90" s="24">
        <f t="shared" si="1"/>
        <v>13336.632</v>
      </c>
      <c r="K90" s="28" t="s">
        <v>535</v>
      </c>
    </row>
    <row r="91" spans="1:11" hidden="1" outlineLevel="2" x14ac:dyDescent="0.25">
      <c r="A91" s="206">
        <v>44478</v>
      </c>
      <c r="B91" s="28" t="s">
        <v>174</v>
      </c>
      <c r="C91" s="39">
        <v>320</v>
      </c>
      <c r="D91" s="28" t="s">
        <v>537</v>
      </c>
      <c r="E91" s="28">
        <v>6574</v>
      </c>
      <c r="F91" s="24">
        <v>58.497399999999999</v>
      </c>
      <c r="G91" s="24">
        <v>12.284454</v>
      </c>
      <c r="H91" s="24">
        <v>11.975199999999999</v>
      </c>
      <c r="I91" s="24">
        <v>1.5993999999999999</v>
      </c>
      <c r="J91" s="24">
        <f t="shared" si="1"/>
        <v>21338.611199999999</v>
      </c>
      <c r="K91" s="28" t="s">
        <v>535</v>
      </c>
    </row>
    <row r="92" spans="1:11" hidden="1" outlineLevel="2" x14ac:dyDescent="0.25">
      <c r="A92" s="206">
        <v>44482</v>
      </c>
      <c r="B92" s="28" t="s">
        <v>174</v>
      </c>
      <c r="C92" s="39">
        <v>300</v>
      </c>
      <c r="D92" s="28" t="s">
        <v>538</v>
      </c>
      <c r="E92" s="28">
        <v>6575</v>
      </c>
      <c r="F92" s="24">
        <v>58.497399999999999</v>
      </c>
      <c r="G92" s="24">
        <v>12.284454</v>
      </c>
      <c r="H92" s="24">
        <v>11.975199999999999</v>
      </c>
      <c r="I92" s="24">
        <v>1.5993999999999999</v>
      </c>
      <c r="J92" s="24">
        <f t="shared" si="1"/>
        <v>20004.948</v>
      </c>
      <c r="K92" s="28" t="s">
        <v>535</v>
      </c>
    </row>
    <row r="93" spans="1:11" hidden="1" outlineLevel="2" x14ac:dyDescent="0.25">
      <c r="A93" s="211" t="s">
        <v>578</v>
      </c>
      <c r="B93" s="208" t="s">
        <v>174</v>
      </c>
      <c r="C93" s="213">
        <v>11.02</v>
      </c>
      <c r="D93" s="208" t="s">
        <v>579</v>
      </c>
      <c r="E93" s="208" t="s">
        <v>552</v>
      </c>
      <c r="F93" s="207">
        <v>61.743189600000001</v>
      </c>
      <c r="G93" s="24">
        <v>12.966069815999999</v>
      </c>
      <c r="H93" s="24">
        <v>12.21865056317438</v>
      </c>
      <c r="I93" s="24">
        <v>1.3937217101902071</v>
      </c>
      <c r="J93" s="24">
        <f t="shared" si="1"/>
        <v>769.82600370169598</v>
      </c>
      <c r="K93" s="28" t="s">
        <v>535</v>
      </c>
    </row>
    <row r="94" spans="1:11" hidden="1" outlineLevel="2" x14ac:dyDescent="0.25">
      <c r="A94" s="211" t="s">
        <v>580</v>
      </c>
      <c r="B94" s="208" t="s">
        <v>174</v>
      </c>
      <c r="C94" s="213">
        <v>100</v>
      </c>
      <c r="D94" s="208" t="s">
        <v>579</v>
      </c>
      <c r="E94" s="208" t="s">
        <v>552</v>
      </c>
      <c r="F94" s="207">
        <v>61.743189600000001</v>
      </c>
      <c r="G94" s="24">
        <v>12.966069815999999</v>
      </c>
      <c r="H94" s="24">
        <v>12.21865056317438</v>
      </c>
      <c r="I94" s="24">
        <v>1.3937217101902071</v>
      </c>
      <c r="J94" s="24">
        <f t="shared" si="1"/>
        <v>6985.7169119936116</v>
      </c>
      <c r="K94" s="28" t="s">
        <v>535</v>
      </c>
    </row>
    <row r="95" spans="1:11" hidden="1" outlineLevel="2" x14ac:dyDescent="0.25">
      <c r="A95" s="206">
        <v>44488</v>
      </c>
      <c r="B95" s="28" t="s">
        <v>174</v>
      </c>
      <c r="C95" s="39">
        <v>350</v>
      </c>
      <c r="D95" s="28" t="s">
        <v>634</v>
      </c>
      <c r="E95" s="28">
        <v>6715</v>
      </c>
      <c r="F95" s="24">
        <v>60.876800000000003</v>
      </c>
      <c r="G95" s="24">
        <v>12.784128000000001</v>
      </c>
      <c r="H95" s="24">
        <v>12.826000000000001</v>
      </c>
      <c r="I95" s="24">
        <v>1.4631000000000001</v>
      </c>
      <c r="J95" s="24">
        <f t="shared" si="1"/>
        <v>24287.969999999998</v>
      </c>
      <c r="K95" s="28" t="s">
        <v>535</v>
      </c>
    </row>
    <row r="96" spans="1:11" hidden="1" outlineLevel="2" x14ac:dyDescent="0.25">
      <c r="A96" s="206">
        <v>44490</v>
      </c>
      <c r="B96" s="28" t="s">
        <v>174</v>
      </c>
      <c r="C96" s="39">
        <v>176</v>
      </c>
      <c r="D96" s="28" t="s">
        <v>635</v>
      </c>
      <c r="E96" s="28">
        <v>6716</v>
      </c>
      <c r="F96" s="24">
        <v>60.876800000000003</v>
      </c>
      <c r="G96" s="24">
        <v>12.784128000000001</v>
      </c>
      <c r="H96" s="24">
        <v>12.826000000000001</v>
      </c>
      <c r="I96" s="24">
        <v>1.4631000000000001</v>
      </c>
      <c r="J96" s="24">
        <f t="shared" si="1"/>
        <v>12213.379199999999</v>
      </c>
      <c r="K96" s="28" t="s">
        <v>535</v>
      </c>
    </row>
    <row r="97" spans="1:11" hidden="1" outlineLevel="2" x14ac:dyDescent="0.25">
      <c r="A97" s="206">
        <v>44494</v>
      </c>
      <c r="B97" s="28" t="s">
        <v>174</v>
      </c>
      <c r="C97" s="39">
        <v>195</v>
      </c>
      <c r="D97" s="28" t="s">
        <v>636</v>
      </c>
      <c r="E97" s="28">
        <v>6728</v>
      </c>
      <c r="F97" s="24">
        <v>60.876800000000003</v>
      </c>
      <c r="G97" s="24">
        <v>12.784128000000001</v>
      </c>
      <c r="H97" s="24">
        <v>12.826000000000001</v>
      </c>
      <c r="I97" s="24">
        <v>1.4631000000000001</v>
      </c>
      <c r="J97" s="24">
        <f t="shared" si="1"/>
        <v>13531.868999999999</v>
      </c>
      <c r="K97" s="28" t="s">
        <v>535</v>
      </c>
    </row>
    <row r="98" spans="1:11" hidden="1" outlineLevel="2" x14ac:dyDescent="0.25">
      <c r="A98" s="206">
        <v>44496</v>
      </c>
      <c r="B98" s="28" t="s">
        <v>174</v>
      </c>
      <c r="C98" s="39">
        <v>280</v>
      </c>
      <c r="D98" s="28" t="s">
        <v>636</v>
      </c>
      <c r="E98" s="28">
        <v>6728</v>
      </c>
      <c r="F98" s="24">
        <v>60.876800000000003</v>
      </c>
      <c r="G98" s="24">
        <v>12.784128000000001</v>
      </c>
      <c r="H98" s="24">
        <v>12.826000000000001</v>
      </c>
      <c r="I98" s="24">
        <v>1.4631000000000001</v>
      </c>
      <c r="J98" s="24">
        <f t="shared" si="1"/>
        <v>19430.376</v>
      </c>
      <c r="K98" s="28" t="s">
        <v>535</v>
      </c>
    </row>
    <row r="99" spans="1:11" hidden="1" outlineLevel="2" x14ac:dyDescent="0.25">
      <c r="A99" s="206">
        <v>44497</v>
      </c>
      <c r="B99" s="28" t="s">
        <v>174</v>
      </c>
      <c r="C99" s="39">
        <v>180</v>
      </c>
      <c r="D99" s="28" t="s">
        <v>637</v>
      </c>
      <c r="E99" s="28">
        <v>6729</v>
      </c>
      <c r="F99" s="24">
        <v>60.876800000000003</v>
      </c>
      <c r="G99" s="24">
        <v>12.784128000000001</v>
      </c>
      <c r="H99" s="24">
        <v>12.826000000000001</v>
      </c>
      <c r="I99" s="24">
        <v>1.4631000000000001</v>
      </c>
      <c r="J99" s="24">
        <f t="shared" si="1"/>
        <v>12490.956</v>
      </c>
      <c r="K99" s="28" t="s">
        <v>535</v>
      </c>
    </row>
    <row r="100" spans="1:11" hidden="1" outlineLevel="2" x14ac:dyDescent="0.25">
      <c r="A100" s="206">
        <v>44500</v>
      </c>
      <c r="B100" s="28" t="s">
        <v>174</v>
      </c>
      <c r="C100" s="39">
        <v>370</v>
      </c>
      <c r="D100" s="28" t="s">
        <v>638</v>
      </c>
      <c r="E100" s="28">
        <v>6730</v>
      </c>
      <c r="F100" s="24">
        <v>60.876800000000003</v>
      </c>
      <c r="G100" s="24">
        <v>12.784128000000001</v>
      </c>
      <c r="H100" s="24">
        <v>12.826000000000001</v>
      </c>
      <c r="I100" s="24">
        <v>1.4631000000000001</v>
      </c>
      <c r="J100" s="24">
        <f t="shared" si="1"/>
        <v>25675.853999999999</v>
      </c>
      <c r="K100" s="28" t="s">
        <v>535</v>
      </c>
    </row>
    <row r="101" spans="1:11" s="214" customFormat="1" outlineLevel="1" collapsed="1" x14ac:dyDescent="0.25">
      <c r="A101" s="220"/>
      <c r="B101" s="221" t="s">
        <v>646</v>
      </c>
      <c r="C101" s="222">
        <f>SUBTOTAL(9,C89:C100)</f>
        <v>2852.02</v>
      </c>
      <c r="D101" s="718"/>
      <c r="E101" s="719"/>
      <c r="F101" s="719"/>
      <c r="G101" s="719"/>
      <c r="H101" s="719"/>
      <c r="I101" s="720"/>
      <c r="J101" s="223">
        <f>SUBTOTAL(9,J89:J100)</f>
        <v>194738.90751569529</v>
      </c>
      <c r="K101" s="221"/>
    </row>
    <row r="102" spans="1:11" hidden="1" outlineLevel="2" x14ac:dyDescent="0.25">
      <c r="A102" s="211" t="s">
        <v>581</v>
      </c>
      <c r="B102" s="208" t="s">
        <v>199</v>
      </c>
      <c r="C102" s="213">
        <v>399.29</v>
      </c>
      <c r="D102" s="208" t="s">
        <v>582</v>
      </c>
      <c r="E102" s="208" t="s">
        <v>552</v>
      </c>
      <c r="F102" s="207">
        <v>61.743189600000001</v>
      </c>
      <c r="G102" s="24">
        <v>12.966069815999999</v>
      </c>
      <c r="H102" s="24">
        <v>12.21865056317438</v>
      </c>
      <c r="I102" s="24">
        <v>1.3937217101902071</v>
      </c>
      <c r="J102" s="24">
        <f t="shared" si="1"/>
        <v>27893.269057899295</v>
      </c>
      <c r="K102" s="28" t="s">
        <v>535</v>
      </c>
    </row>
    <row r="103" spans="1:11" hidden="1" outlineLevel="2" x14ac:dyDescent="0.25">
      <c r="A103" s="211" t="s">
        <v>583</v>
      </c>
      <c r="B103" s="208" t="s">
        <v>199</v>
      </c>
      <c r="C103" s="213">
        <v>300.02</v>
      </c>
      <c r="D103" s="208" t="s">
        <v>584</v>
      </c>
      <c r="E103" s="208" t="s">
        <v>552</v>
      </c>
      <c r="F103" s="207">
        <v>61.743189600000001</v>
      </c>
      <c r="G103" s="24">
        <v>12.966069815999999</v>
      </c>
      <c r="H103" s="24">
        <v>12.21865056317438</v>
      </c>
      <c r="I103" s="24">
        <v>1.3937217101902071</v>
      </c>
      <c r="J103" s="24">
        <f t="shared" si="1"/>
        <v>20958.547879363232</v>
      </c>
      <c r="K103" s="28" t="s">
        <v>535</v>
      </c>
    </row>
    <row r="104" spans="1:11" hidden="1" outlineLevel="2" x14ac:dyDescent="0.25">
      <c r="A104" s="211" t="s">
        <v>585</v>
      </c>
      <c r="B104" s="208" t="s">
        <v>199</v>
      </c>
      <c r="C104" s="213">
        <v>366.67</v>
      </c>
      <c r="D104" s="208" t="s">
        <v>586</v>
      </c>
      <c r="E104" s="208" t="s">
        <v>563</v>
      </c>
      <c r="F104" s="207">
        <v>62.270101099999998</v>
      </c>
      <c r="G104" s="24">
        <v>13.076721230999999</v>
      </c>
      <c r="H104" s="24">
        <v>12.21865056317438</v>
      </c>
      <c r="I104" s="24">
        <v>1.3937217101902071</v>
      </c>
      <c r="J104" s="24">
        <f t="shared" si="1"/>
        <v>25807.730840911976</v>
      </c>
      <c r="K104" s="28" t="s">
        <v>535</v>
      </c>
    </row>
    <row r="105" spans="1:11" hidden="1" outlineLevel="2" x14ac:dyDescent="0.25">
      <c r="A105" s="211" t="s">
        <v>587</v>
      </c>
      <c r="B105" s="208" t="s">
        <v>199</v>
      </c>
      <c r="C105" s="213">
        <v>518.42999999999995</v>
      </c>
      <c r="D105" s="208" t="s">
        <v>588</v>
      </c>
      <c r="E105" s="208" t="s">
        <v>552</v>
      </c>
      <c r="F105" s="207">
        <v>61.743189600000001</v>
      </c>
      <c r="G105" s="24">
        <v>12.966069815999999</v>
      </c>
      <c r="H105" s="24">
        <v>12.21865056317438</v>
      </c>
      <c r="I105" s="24">
        <v>1.3937217101902071</v>
      </c>
      <c r="J105" s="24">
        <f t="shared" si="1"/>
        <v>36216.052186848479</v>
      </c>
      <c r="K105" s="28" t="s">
        <v>535</v>
      </c>
    </row>
    <row r="106" spans="1:11" hidden="1" outlineLevel="2" x14ac:dyDescent="0.25">
      <c r="A106" s="211" t="s">
        <v>589</v>
      </c>
      <c r="B106" s="208" t="s">
        <v>199</v>
      </c>
      <c r="C106" s="213">
        <v>658.38</v>
      </c>
      <c r="D106" s="208" t="s">
        <v>588</v>
      </c>
      <c r="E106" s="208" t="s">
        <v>552</v>
      </c>
      <c r="F106" s="207">
        <v>61.743189600000001</v>
      </c>
      <c r="G106" s="24">
        <v>12.966069815999999</v>
      </c>
      <c r="H106" s="24">
        <v>12.21865056317438</v>
      </c>
      <c r="I106" s="24">
        <v>1.3937217101902071</v>
      </c>
      <c r="J106" s="24">
        <f t="shared" si="1"/>
        <v>45992.56300518354</v>
      </c>
      <c r="K106" s="28" t="s">
        <v>535</v>
      </c>
    </row>
    <row r="107" spans="1:11" hidden="1" outlineLevel="2" x14ac:dyDescent="0.25">
      <c r="A107" s="206">
        <v>44494</v>
      </c>
      <c r="B107" s="28" t="s">
        <v>199</v>
      </c>
      <c r="C107" s="39">
        <v>350</v>
      </c>
      <c r="D107" s="28" t="s">
        <v>636</v>
      </c>
      <c r="E107" s="28">
        <v>6728</v>
      </c>
      <c r="F107" s="24">
        <v>60.876800000000003</v>
      </c>
      <c r="G107" s="24">
        <v>12.784128000000001</v>
      </c>
      <c r="H107" s="24">
        <v>12.826000000000001</v>
      </c>
      <c r="I107" s="24">
        <v>1.4631000000000001</v>
      </c>
      <c r="J107" s="24">
        <f t="shared" si="1"/>
        <v>24287.969999999998</v>
      </c>
      <c r="K107" s="28" t="s">
        <v>535</v>
      </c>
    </row>
    <row r="108" spans="1:11" hidden="1" outlineLevel="2" x14ac:dyDescent="0.25">
      <c r="A108" s="206">
        <v>44495</v>
      </c>
      <c r="B108" s="28" t="s">
        <v>199</v>
      </c>
      <c r="C108" s="39">
        <v>400</v>
      </c>
      <c r="D108" s="28" t="s">
        <v>636</v>
      </c>
      <c r="E108" s="28">
        <v>6728</v>
      </c>
      <c r="F108" s="24">
        <v>60.876800000000003</v>
      </c>
      <c r="G108" s="24">
        <v>12.784128000000001</v>
      </c>
      <c r="H108" s="24">
        <v>12.826000000000001</v>
      </c>
      <c r="I108" s="24">
        <v>1.4631000000000001</v>
      </c>
      <c r="J108" s="24">
        <f t="shared" si="1"/>
        <v>27757.68</v>
      </c>
      <c r="K108" s="28" t="s">
        <v>535</v>
      </c>
    </row>
    <row r="109" spans="1:11" s="214" customFormat="1" outlineLevel="1" collapsed="1" x14ac:dyDescent="0.25">
      <c r="A109" s="220"/>
      <c r="B109" s="221" t="s">
        <v>647</v>
      </c>
      <c r="C109" s="222">
        <f>SUBTOTAL(9,C102:C108)</f>
        <v>2992.79</v>
      </c>
      <c r="D109" s="718"/>
      <c r="E109" s="719"/>
      <c r="F109" s="719"/>
      <c r="G109" s="719"/>
      <c r="H109" s="719"/>
      <c r="I109" s="720"/>
      <c r="J109" s="223">
        <f>SUBTOTAL(9,J102:J108)</f>
        <v>208913.81297020652</v>
      </c>
      <c r="K109" s="221"/>
    </row>
    <row r="110" spans="1:11" hidden="1" outlineLevel="2" x14ac:dyDescent="0.25">
      <c r="A110" s="206">
        <v>44473</v>
      </c>
      <c r="B110" s="28" t="s">
        <v>207</v>
      </c>
      <c r="C110" s="39">
        <v>735</v>
      </c>
      <c r="D110" s="28" t="s">
        <v>536</v>
      </c>
      <c r="E110" s="28">
        <v>6562</v>
      </c>
      <c r="F110" s="24">
        <v>58.497399999999999</v>
      </c>
      <c r="G110" s="24">
        <v>12.284454</v>
      </c>
      <c r="H110" s="24">
        <v>11.975199999999999</v>
      </c>
      <c r="I110" s="24">
        <v>1.5993999999999999</v>
      </c>
      <c r="J110" s="24">
        <f t="shared" si="1"/>
        <v>49012.122600000002</v>
      </c>
      <c r="K110" s="28" t="s">
        <v>535</v>
      </c>
    </row>
    <row r="111" spans="1:11" hidden="1" outlineLevel="2" x14ac:dyDescent="0.25">
      <c r="A111" s="206">
        <v>44478</v>
      </c>
      <c r="B111" s="28" t="s">
        <v>207</v>
      </c>
      <c r="C111" s="39">
        <v>400</v>
      </c>
      <c r="D111" s="28" t="s">
        <v>537</v>
      </c>
      <c r="E111" s="28">
        <v>6574</v>
      </c>
      <c r="F111" s="24">
        <v>58.497399999999999</v>
      </c>
      <c r="G111" s="24">
        <v>12.284454</v>
      </c>
      <c r="H111" s="24">
        <v>11.975199999999999</v>
      </c>
      <c r="I111" s="24">
        <v>1.5993999999999999</v>
      </c>
      <c r="J111" s="24">
        <f t="shared" si="1"/>
        <v>26673.263999999999</v>
      </c>
      <c r="K111" s="28" t="s">
        <v>535</v>
      </c>
    </row>
    <row r="112" spans="1:11" hidden="1" outlineLevel="2" x14ac:dyDescent="0.25">
      <c r="A112" s="211" t="s">
        <v>590</v>
      </c>
      <c r="B112" s="208" t="s">
        <v>207</v>
      </c>
      <c r="C112" s="213">
        <v>519.04</v>
      </c>
      <c r="D112" s="208" t="s">
        <v>588</v>
      </c>
      <c r="E112" s="208" t="s">
        <v>552</v>
      </c>
      <c r="F112" s="207">
        <v>61.743189600000001</v>
      </c>
      <c r="G112" s="24">
        <v>12.966069815999999</v>
      </c>
      <c r="H112" s="24">
        <v>12.21865056317438</v>
      </c>
      <c r="I112" s="24">
        <v>1.3937217101902071</v>
      </c>
      <c r="J112" s="24">
        <f t="shared" si="1"/>
        <v>36258.665060011641</v>
      </c>
      <c r="K112" s="28" t="s">
        <v>535</v>
      </c>
    </row>
    <row r="113" spans="1:11" hidden="1" outlineLevel="2" x14ac:dyDescent="0.25">
      <c r="A113" s="211" t="s">
        <v>591</v>
      </c>
      <c r="B113" s="208" t="s">
        <v>207</v>
      </c>
      <c r="C113" s="213">
        <v>505</v>
      </c>
      <c r="D113" s="208" t="s">
        <v>588</v>
      </c>
      <c r="E113" s="208" t="s">
        <v>552</v>
      </c>
      <c r="F113" s="207">
        <v>61.743189600000001</v>
      </c>
      <c r="G113" s="24">
        <v>12.966069815999999</v>
      </c>
      <c r="H113" s="24">
        <v>12.21865056317438</v>
      </c>
      <c r="I113" s="24">
        <v>1.3937217101902071</v>
      </c>
      <c r="J113" s="24">
        <f t="shared" si="1"/>
        <v>35277.870405567737</v>
      </c>
      <c r="K113" s="28" t="s">
        <v>535</v>
      </c>
    </row>
    <row r="114" spans="1:11" hidden="1" outlineLevel="2" x14ac:dyDescent="0.25">
      <c r="A114" s="211" t="s">
        <v>592</v>
      </c>
      <c r="B114" s="208" t="s">
        <v>207</v>
      </c>
      <c r="C114" s="213">
        <v>400.01</v>
      </c>
      <c r="D114" s="208" t="s">
        <v>586</v>
      </c>
      <c r="E114" s="208" t="s">
        <v>563</v>
      </c>
      <c r="F114" s="207">
        <v>62.270101099999998</v>
      </c>
      <c r="G114" s="24">
        <v>13.076721230999999</v>
      </c>
      <c r="H114" s="24">
        <v>12.21865056317438</v>
      </c>
      <c r="I114" s="24">
        <v>1.3937217101902071</v>
      </c>
      <c r="J114" s="24">
        <f t="shared" si="1"/>
        <v>28154.336088780645</v>
      </c>
      <c r="K114" s="28" t="s">
        <v>535</v>
      </c>
    </row>
    <row r="115" spans="1:11" hidden="1" outlineLevel="2" x14ac:dyDescent="0.25">
      <c r="A115" s="211" t="s">
        <v>593</v>
      </c>
      <c r="B115" s="208" t="s">
        <v>207</v>
      </c>
      <c r="C115" s="213">
        <v>690.01</v>
      </c>
      <c r="D115" s="208" t="s">
        <v>588</v>
      </c>
      <c r="E115" s="208" t="s">
        <v>552</v>
      </c>
      <c r="F115" s="207">
        <v>61.743189600000001</v>
      </c>
      <c r="G115" s="24">
        <v>12.966069815999999</v>
      </c>
      <c r="H115" s="24">
        <v>12.21865056317438</v>
      </c>
      <c r="I115" s="24">
        <v>1.3937217101902071</v>
      </c>
      <c r="J115" s="24">
        <f t="shared" si="1"/>
        <v>48202.145264447121</v>
      </c>
      <c r="K115" s="28" t="s">
        <v>535</v>
      </c>
    </row>
    <row r="116" spans="1:11" hidden="1" outlineLevel="2" x14ac:dyDescent="0.25">
      <c r="A116" s="211" t="s">
        <v>594</v>
      </c>
      <c r="B116" s="208" t="s">
        <v>207</v>
      </c>
      <c r="C116" s="213">
        <v>400</v>
      </c>
      <c r="D116" s="208" t="s">
        <v>586</v>
      </c>
      <c r="E116" s="208" t="s">
        <v>563</v>
      </c>
      <c r="F116" s="207">
        <v>62.270101099999998</v>
      </c>
      <c r="G116" s="24">
        <v>13.076721230999999</v>
      </c>
      <c r="H116" s="24">
        <v>12.21865056317438</v>
      </c>
      <c r="I116" s="24">
        <v>1.3937217101902071</v>
      </c>
      <c r="J116" s="24">
        <f t="shared" si="1"/>
        <v>28153.632247974445</v>
      </c>
      <c r="K116" s="28" t="s">
        <v>535</v>
      </c>
    </row>
    <row r="117" spans="1:11" hidden="1" outlineLevel="2" x14ac:dyDescent="0.25">
      <c r="A117" s="206">
        <v>44484</v>
      </c>
      <c r="B117" s="28" t="s">
        <v>207</v>
      </c>
      <c r="C117" s="39">
        <v>740</v>
      </c>
      <c r="D117" s="28" t="s">
        <v>633</v>
      </c>
      <c r="E117" s="28">
        <v>6713</v>
      </c>
      <c r="F117" s="24">
        <v>60.876800000000003</v>
      </c>
      <c r="G117" s="24">
        <v>12.784128000000001</v>
      </c>
      <c r="H117" s="24">
        <v>12.826000000000001</v>
      </c>
      <c r="I117" s="24">
        <v>1.4631000000000001</v>
      </c>
      <c r="J117" s="24">
        <f t="shared" si="1"/>
        <v>51351.707999999999</v>
      </c>
      <c r="K117" s="28" t="s">
        <v>535</v>
      </c>
    </row>
    <row r="118" spans="1:11" s="214" customFormat="1" outlineLevel="1" collapsed="1" x14ac:dyDescent="0.25">
      <c r="A118" s="220"/>
      <c r="B118" s="221" t="s">
        <v>648</v>
      </c>
      <c r="C118" s="222">
        <f>SUBTOTAL(9,C110:C117)</f>
        <v>4389.0600000000004</v>
      </c>
      <c r="D118" s="718"/>
      <c r="E118" s="719"/>
      <c r="F118" s="719"/>
      <c r="G118" s="719"/>
      <c r="H118" s="719"/>
      <c r="I118" s="720"/>
      <c r="J118" s="223">
        <f>SUBTOTAL(9,J110:J117)</f>
        <v>303083.74366678158</v>
      </c>
      <c r="K118" s="221"/>
    </row>
    <row r="119" spans="1:11" hidden="1" outlineLevel="2" x14ac:dyDescent="0.25">
      <c r="A119" s="206">
        <v>44470</v>
      </c>
      <c r="B119" s="28" t="s">
        <v>228</v>
      </c>
      <c r="C119" s="39">
        <v>300</v>
      </c>
      <c r="D119" s="28" t="s">
        <v>534</v>
      </c>
      <c r="E119" s="28">
        <v>6561</v>
      </c>
      <c r="F119" s="24">
        <v>58.497399999999999</v>
      </c>
      <c r="G119" s="24">
        <v>12.284454</v>
      </c>
      <c r="H119" s="24">
        <v>11.975199999999999</v>
      </c>
      <c r="I119" s="24">
        <v>1.5993999999999999</v>
      </c>
      <c r="J119" s="24">
        <f t="shared" si="1"/>
        <v>20004.948</v>
      </c>
      <c r="K119" s="28" t="s">
        <v>535</v>
      </c>
    </row>
    <row r="120" spans="1:11" hidden="1" outlineLevel="2" x14ac:dyDescent="0.25">
      <c r="A120" s="206">
        <v>44473</v>
      </c>
      <c r="B120" s="28" t="s">
        <v>228</v>
      </c>
      <c r="C120" s="39">
        <v>400</v>
      </c>
      <c r="D120" s="28" t="s">
        <v>536</v>
      </c>
      <c r="E120" s="28">
        <v>6562</v>
      </c>
      <c r="F120" s="24">
        <v>58.497399999999999</v>
      </c>
      <c r="G120" s="24">
        <v>12.284454</v>
      </c>
      <c r="H120" s="24">
        <v>11.975199999999999</v>
      </c>
      <c r="I120" s="24">
        <v>1.5993999999999999</v>
      </c>
      <c r="J120" s="24">
        <f t="shared" si="1"/>
        <v>26673.263999999999</v>
      </c>
      <c r="K120" s="28" t="s">
        <v>535</v>
      </c>
    </row>
    <row r="121" spans="1:11" hidden="1" outlineLevel="2" x14ac:dyDescent="0.25">
      <c r="A121" s="206">
        <v>44475</v>
      </c>
      <c r="B121" s="28" t="s">
        <v>228</v>
      </c>
      <c r="C121" s="39">
        <v>425</v>
      </c>
      <c r="D121" s="28" t="s">
        <v>537</v>
      </c>
      <c r="E121" s="28">
        <v>6574</v>
      </c>
      <c r="F121" s="24">
        <v>58.497399999999999</v>
      </c>
      <c r="G121" s="24">
        <v>12.284454</v>
      </c>
      <c r="H121" s="24">
        <v>11.975199999999999</v>
      </c>
      <c r="I121" s="24">
        <v>1.5993999999999999</v>
      </c>
      <c r="J121" s="24">
        <f t="shared" si="1"/>
        <v>28340.343000000001</v>
      </c>
      <c r="K121" s="28" t="s">
        <v>535</v>
      </c>
    </row>
    <row r="122" spans="1:11" hidden="1" outlineLevel="2" x14ac:dyDescent="0.25">
      <c r="A122" s="206">
        <v>44481</v>
      </c>
      <c r="B122" s="28" t="s">
        <v>228</v>
      </c>
      <c r="C122" s="39">
        <v>410</v>
      </c>
      <c r="D122" s="28" t="s">
        <v>538</v>
      </c>
      <c r="E122" s="28">
        <v>6575</v>
      </c>
      <c r="F122" s="24">
        <v>58.497399999999999</v>
      </c>
      <c r="G122" s="24">
        <v>12.284454</v>
      </c>
      <c r="H122" s="24">
        <v>11.975199999999999</v>
      </c>
      <c r="I122" s="24">
        <v>1.5993999999999999</v>
      </c>
      <c r="J122" s="24">
        <f t="shared" si="1"/>
        <v>27340.095600000001</v>
      </c>
      <c r="K122" s="28" t="s">
        <v>535</v>
      </c>
    </row>
    <row r="123" spans="1:11" hidden="1" outlineLevel="2" x14ac:dyDescent="0.25">
      <c r="A123" s="206">
        <v>44482</v>
      </c>
      <c r="B123" s="28" t="s">
        <v>228</v>
      </c>
      <c r="C123" s="39">
        <v>334</v>
      </c>
      <c r="D123" s="28" t="s">
        <v>538</v>
      </c>
      <c r="E123" s="28">
        <v>6575</v>
      </c>
      <c r="F123" s="24">
        <v>58.497399999999999</v>
      </c>
      <c r="G123" s="24">
        <v>12.284454</v>
      </c>
      <c r="H123" s="24">
        <v>11.975199999999999</v>
      </c>
      <c r="I123" s="24">
        <v>1.5993999999999999</v>
      </c>
      <c r="J123" s="24">
        <f t="shared" si="1"/>
        <v>22272.175439999999</v>
      </c>
      <c r="K123" s="28" t="s">
        <v>535</v>
      </c>
    </row>
    <row r="124" spans="1:11" hidden="1" outlineLevel="2" x14ac:dyDescent="0.25">
      <c r="A124" s="206">
        <v>44487</v>
      </c>
      <c r="B124" s="28" t="s">
        <v>228</v>
      </c>
      <c r="C124" s="39">
        <v>450</v>
      </c>
      <c r="D124" s="28" t="s">
        <v>633</v>
      </c>
      <c r="E124" s="28">
        <v>6713</v>
      </c>
      <c r="F124" s="24">
        <v>60.876800000000003</v>
      </c>
      <c r="G124" s="24">
        <v>12.784128000000001</v>
      </c>
      <c r="H124" s="24">
        <v>12.826000000000001</v>
      </c>
      <c r="I124" s="24">
        <v>1.4631000000000001</v>
      </c>
      <c r="J124" s="24">
        <f t="shared" si="1"/>
        <v>31227.39</v>
      </c>
      <c r="K124" s="28" t="s">
        <v>535</v>
      </c>
    </row>
    <row r="125" spans="1:11" hidden="1" outlineLevel="2" x14ac:dyDescent="0.25">
      <c r="A125" s="206">
        <v>44489</v>
      </c>
      <c r="B125" s="28" t="s">
        <v>228</v>
      </c>
      <c r="C125" s="39">
        <v>450</v>
      </c>
      <c r="D125" s="28" t="s">
        <v>634</v>
      </c>
      <c r="E125" s="28">
        <v>6715</v>
      </c>
      <c r="F125" s="24">
        <v>60.876800000000003</v>
      </c>
      <c r="G125" s="24">
        <v>12.784128000000001</v>
      </c>
      <c r="H125" s="24">
        <v>12.826000000000001</v>
      </c>
      <c r="I125" s="24">
        <v>1.4631000000000001</v>
      </c>
      <c r="J125" s="24">
        <f t="shared" si="1"/>
        <v>31227.39</v>
      </c>
      <c r="K125" s="28" t="s">
        <v>535</v>
      </c>
    </row>
    <row r="126" spans="1:11" hidden="1" outlineLevel="2" x14ac:dyDescent="0.25">
      <c r="A126" s="206">
        <v>44493</v>
      </c>
      <c r="B126" s="28" t="s">
        <v>228</v>
      </c>
      <c r="C126" s="39">
        <v>430</v>
      </c>
      <c r="D126" s="28" t="s">
        <v>635</v>
      </c>
      <c r="E126" s="28">
        <v>6716</v>
      </c>
      <c r="F126" s="24">
        <v>60.876800000000003</v>
      </c>
      <c r="G126" s="24">
        <v>12.784128000000001</v>
      </c>
      <c r="H126" s="24">
        <v>12.826000000000001</v>
      </c>
      <c r="I126" s="24">
        <v>1.4631000000000001</v>
      </c>
      <c r="J126" s="24">
        <f t="shared" si="1"/>
        <v>29839.505999999998</v>
      </c>
      <c r="K126" s="28" t="s">
        <v>535</v>
      </c>
    </row>
    <row r="127" spans="1:11" hidden="1" outlineLevel="2" x14ac:dyDescent="0.25">
      <c r="A127" s="206">
        <v>44495</v>
      </c>
      <c r="B127" s="28" t="s">
        <v>228</v>
      </c>
      <c r="C127" s="39">
        <v>773</v>
      </c>
      <c r="D127" s="28" t="s">
        <v>636</v>
      </c>
      <c r="E127" s="28">
        <v>6728</v>
      </c>
      <c r="F127" s="24">
        <v>60.876800000000003</v>
      </c>
      <c r="G127" s="24">
        <v>12.784128000000001</v>
      </c>
      <c r="H127" s="24">
        <v>12.826000000000001</v>
      </c>
      <c r="I127" s="24">
        <v>1.4631000000000001</v>
      </c>
      <c r="J127" s="24">
        <f t="shared" si="1"/>
        <v>53641.7166</v>
      </c>
      <c r="K127" s="28" t="s">
        <v>535</v>
      </c>
    </row>
    <row r="128" spans="1:11" hidden="1" outlineLevel="2" x14ac:dyDescent="0.25">
      <c r="A128" s="206">
        <v>44497</v>
      </c>
      <c r="B128" s="28" t="s">
        <v>228</v>
      </c>
      <c r="C128" s="39">
        <v>230</v>
      </c>
      <c r="D128" s="28" t="s">
        <v>637</v>
      </c>
      <c r="E128" s="28">
        <v>6729</v>
      </c>
      <c r="F128" s="24">
        <v>60.876800000000003</v>
      </c>
      <c r="G128" s="24">
        <v>12.784128000000001</v>
      </c>
      <c r="H128" s="24">
        <v>12.826000000000001</v>
      </c>
      <c r="I128" s="24">
        <v>1.4631000000000001</v>
      </c>
      <c r="J128" s="24">
        <f t="shared" si="1"/>
        <v>15960.665999999999</v>
      </c>
      <c r="K128" s="28" t="s">
        <v>535</v>
      </c>
    </row>
    <row r="129" spans="1:11" s="214" customFormat="1" outlineLevel="1" collapsed="1" x14ac:dyDescent="0.25">
      <c r="A129" s="220"/>
      <c r="B129" s="221" t="s">
        <v>649</v>
      </c>
      <c r="C129" s="222">
        <f>SUBTOTAL(9,C119:C128)</f>
        <v>4202</v>
      </c>
      <c r="D129" s="718"/>
      <c r="E129" s="719"/>
      <c r="F129" s="719"/>
      <c r="G129" s="719"/>
      <c r="H129" s="719"/>
      <c r="I129" s="720"/>
      <c r="J129" s="223">
        <f>SUBTOTAL(9,J119:J128)</f>
        <v>286527.49463999999</v>
      </c>
      <c r="K129" s="221"/>
    </row>
    <row r="130" spans="1:11" hidden="1" outlineLevel="2" x14ac:dyDescent="0.25">
      <c r="A130" s="206">
        <v>44470</v>
      </c>
      <c r="B130" s="28" t="s">
        <v>231</v>
      </c>
      <c r="C130" s="39">
        <v>520</v>
      </c>
      <c r="D130" s="28" t="s">
        <v>539</v>
      </c>
      <c r="E130" s="28">
        <v>6556</v>
      </c>
      <c r="F130" s="24">
        <v>58.537700000000001</v>
      </c>
      <c r="G130" s="24">
        <v>12.292916999999999</v>
      </c>
      <c r="H130" s="24">
        <v>11.975199999999999</v>
      </c>
      <c r="I130" s="24">
        <v>1.5993999999999999</v>
      </c>
      <c r="J130" s="24">
        <f t="shared" si="1"/>
        <v>34696.199200000003</v>
      </c>
      <c r="K130" s="28" t="s">
        <v>540</v>
      </c>
    </row>
    <row r="131" spans="1:11" hidden="1" outlineLevel="2" x14ac:dyDescent="0.25">
      <c r="A131" s="206">
        <v>44475</v>
      </c>
      <c r="B131" s="28" t="s">
        <v>231</v>
      </c>
      <c r="C131" s="39">
        <v>486</v>
      </c>
      <c r="D131" s="28" t="s">
        <v>539</v>
      </c>
      <c r="E131" s="28">
        <v>6556</v>
      </c>
      <c r="F131" s="24">
        <v>58.537700000000001</v>
      </c>
      <c r="G131" s="24">
        <v>12.292916999999999</v>
      </c>
      <c r="H131" s="24">
        <v>11.975199999999999</v>
      </c>
      <c r="I131" s="24">
        <v>1.5993999999999999</v>
      </c>
      <c r="J131" s="24">
        <f t="shared" si="1"/>
        <v>32427.601560000003</v>
      </c>
      <c r="K131" s="28" t="s">
        <v>540</v>
      </c>
    </row>
    <row r="132" spans="1:11" hidden="1" outlineLevel="2" x14ac:dyDescent="0.25">
      <c r="A132" s="206">
        <v>44478</v>
      </c>
      <c r="B132" s="28" t="s">
        <v>231</v>
      </c>
      <c r="C132" s="39">
        <v>439</v>
      </c>
      <c r="D132" s="28" t="s">
        <v>539</v>
      </c>
      <c r="E132" s="28">
        <v>6556</v>
      </c>
      <c r="F132" s="24">
        <v>58.537700000000001</v>
      </c>
      <c r="G132" s="24">
        <v>12.292916999999999</v>
      </c>
      <c r="H132" s="24">
        <v>11.975199999999999</v>
      </c>
      <c r="I132" s="24">
        <v>1.5993999999999999</v>
      </c>
      <c r="J132" s="24">
        <f t="shared" si="1"/>
        <v>29291.59894</v>
      </c>
      <c r="K132" s="28" t="s">
        <v>540</v>
      </c>
    </row>
    <row r="133" spans="1:11" hidden="1" outlineLevel="2" x14ac:dyDescent="0.25">
      <c r="A133" s="206">
        <v>44482</v>
      </c>
      <c r="B133" s="28" t="s">
        <v>231</v>
      </c>
      <c r="C133" s="39">
        <v>435</v>
      </c>
      <c r="D133" s="28" t="s">
        <v>541</v>
      </c>
      <c r="E133" s="28">
        <v>6600</v>
      </c>
      <c r="F133" s="24">
        <v>58.537700000000001</v>
      </c>
      <c r="G133" s="24">
        <v>12.292916999999999</v>
      </c>
      <c r="H133" s="24">
        <v>11.975199999999999</v>
      </c>
      <c r="I133" s="24">
        <v>1.5993999999999999</v>
      </c>
      <c r="J133" s="24">
        <f t="shared" si="1"/>
        <v>29024.705100000003</v>
      </c>
      <c r="K133" s="28" t="s">
        <v>540</v>
      </c>
    </row>
    <row r="134" spans="1:11" hidden="1" outlineLevel="2" x14ac:dyDescent="0.25">
      <c r="A134" s="206">
        <v>44484</v>
      </c>
      <c r="B134" s="28" t="s">
        <v>231</v>
      </c>
      <c r="C134" s="39">
        <v>281</v>
      </c>
      <c r="D134" s="28" t="s">
        <v>541</v>
      </c>
      <c r="E134" s="28">
        <v>6600</v>
      </c>
      <c r="F134" s="24">
        <v>58.537700000000001</v>
      </c>
      <c r="G134" s="24">
        <v>12.292916999999999</v>
      </c>
      <c r="H134" s="24">
        <v>11.975199999999999</v>
      </c>
      <c r="I134" s="24">
        <v>1.5993999999999999</v>
      </c>
      <c r="J134" s="24">
        <f t="shared" si="1"/>
        <v>18749.292260000002</v>
      </c>
      <c r="K134" s="28" t="s">
        <v>540</v>
      </c>
    </row>
    <row r="135" spans="1:11" hidden="1" outlineLevel="2" x14ac:dyDescent="0.25">
      <c r="A135" s="206">
        <v>44487</v>
      </c>
      <c r="B135" s="28" t="s">
        <v>231</v>
      </c>
      <c r="C135" s="39">
        <v>439</v>
      </c>
      <c r="D135" s="28" t="s">
        <v>541</v>
      </c>
      <c r="E135" s="28">
        <v>6600</v>
      </c>
      <c r="F135" s="24">
        <v>58.537700000000001</v>
      </c>
      <c r="G135" s="24">
        <v>12.292916999999999</v>
      </c>
      <c r="H135" s="24">
        <v>11.975199999999999</v>
      </c>
      <c r="I135" s="24">
        <v>1.5993999999999999</v>
      </c>
      <c r="J135" s="24">
        <f t="shared" si="1"/>
        <v>29291.59894</v>
      </c>
      <c r="K135" s="28" t="s">
        <v>540</v>
      </c>
    </row>
    <row r="136" spans="1:11" hidden="1" outlineLevel="2" x14ac:dyDescent="0.25">
      <c r="A136" s="206">
        <v>44490</v>
      </c>
      <c r="B136" s="28" t="s">
        <v>231</v>
      </c>
      <c r="C136" s="39">
        <v>427</v>
      </c>
      <c r="D136" s="28" t="s">
        <v>542</v>
      </c>
      <c r="E136" s="28">
        <v>6634</v>
      </c>
      <c r="F136" s="24">
        <v>58.537700000000001</v>
      </c>
      <c r="G136" s="24">
        <v>12.292916999999999</v>
      </c>
      <c r="H136" s="24">
        <v>11.975199999999999</v>
      </c>
      <c r="I136" s="24">
        <v>1.5993999999999999</v>
      </c>
      <c r="J136" s="24">
        <f t="shared" si="1"/>
        <v>28490.917420000002</v>
      </c>
      <c r="K136" s="28" t="s">
        <v>540</v>
      </c>
    </row>
    <row r="137" spans="1:11" hidden="1" outlineLevel="2" x14ac:dyDescent="0.25">
      <c r="A137" s="206">
        <v>44495</v>
      </c>
      <c r="B137" s="28" t="s">
        <v>231</v>
      </c>
      <c r="C137" s="39">
        <v>496</v>
      </c>
      <c r="D137" s="28" t="s">
        <v>542</v>
      </c>
      <c r="E137" s="28">
        <v>6634</v>
      </c>
      <c r="F137" s="24">
        <v>58.537700000000001</v>
      </c>
      <c r="G137" s="24">
        <v>12.292916999999999</v>
      </c>
      <c r="H137" s="24">
        <v>11.975199999999999</v>
      </c>
      <c r="I137" s="24">
        <v>1.5993999999999999</v>
      </c>
      <c r="J137" s="24">
        <f t="shared" si="1"/>
        <v>33094.836159999999</v>
      </c>
      <c r="K137" s="28" t="s">
        <v>540</v>
      </c>
    </row>
    <row r="138" spans="1:11" hidden="1" outlineLevel="2" x14ac:dyDescent="0.25">
      <c r="A138" s="210">
        <v>44499</v>
      </c>
      <c r="B138" s="118" t="s">
        <v>231</v>
      </c>
      <c r="C138" s="212">
        <v>451.13400000000001</v>
      </c>
      <c r="D138" s="118" t="s">
        <v>543</v>
      </c>
      <c r="E138" s="28"/>
      <c r="F138" s="117">
        <v>65.640799999999999</v>
      </c>
      <c r="G138" s="117">
        <v>13.784567999999998</v>
      </c>
      <c r="H138" s="117">
        <v>11.975199999999999</v>
      </c>
      <c r="I138" s="117">
        <v>1.5993999999999999</v>
      </c>
      <c r="J138" s="24">
        <f t="shared" si="1"/>
        <v>33305.671319040004</v>
      </c>
      <c r="K138" s="118" t="s">
        <v>535</v>
      </c>
    </row>
    <row r="139" spans="1:11" s="214" customFormat="1" outlineLevel="1" collapsed="1" x14ac:dyDescent="0.25">
      <c r="A139" s="220"/>
      <c r="B139" s="221" t="s">
        <v>650</v>
      </c>
      <c r="C139" s="222">
        <f>SUBTOTAL(9,C130:C138)</f>
        <v>3974.134</v>
      </c>
      <c r="D139" s="718"/>
      <c r="E139" s="719"/>
      <c r="F139" s="719"/>
      <c r="G139" s="719"/>
      <c r="H139" s="719"/>
      <c r="I139" s="720"/>
      <c r="J139" s="223">
        <f>SUBTOTAL(9,J130:J138)</f>
        <v>268372.42089904007</v>
      </c>
      <c r="K139" s="221"/>
    </row>
    <row r="140" spans="1:11" hidden="1" outlineLevel="2" x14ac:dyDescent="0.25">
      <c r="A140" s="206">
        <v>44473</v>
      </c>
      <c r="B140" s="28" t="s">
        <v>245</v>
      </c>
      <c r="C140" s="39">
        <v>725</v>
      </c>
      <c r="D140" s="28" t="s">
        <v>536</v>
      </c>
      <c r="E140" s="28">
        <v>6562</v>
      </c>
      <c r="F140" s="24">
        <v>58.497399999999999</v>
      </c>
      <c r="G140" s="24">
        <v>12.284454</v>
      </c>
      <c r="H140" s="24">
        <v>11.975199999999999</v>
      </c>
      <c r="I140" s="24">
        <v>1.5993999999999999</v>
      </c>
      <c r="J140" s="24">
        <f t="shared" si="1"/>
        <v>48345.290999999997</v>
      </c>
      <c r="K140" s="28" t="s">
        <v>535</v>
      </c>
    </row>
    <row r="141" spans="1:11" hidden="1" outlineLevel="2" x14ac:dyDescent="0.25">
      <c r="A141" s="206">
        <v>44480</v>
      </c>
      <c r="B141" s="28" t="s">
        <v>245</v>
      </c>
      <c r="C141" s="39">
        <v>700</v>
      </c>
      <c r="D141" s="28" t="s">
        <v>538</v>
      </c>
      <c r="E141" s="28">
        <v>6575</v>
      </c>
      <c r="F141" s="24">
        <v>58.497399999999999</v>
      </c>
      <c r="G141" s="24">
        <v>12.284454</v>
      </c>
      <c r="H141" s="24">
        <v>11.975199999999999</v>
      </c>
      <c r="I141" s="24">
        <v>1.5993999999999999</v>
      </c>
      <c r="J141" s="24">
        <f t="shared" si="1"/>
        <v>46678.212</v>
      </c>
      <c r="K141" s="28" t="s">
        <v>535</v>
      </c>
    </row>
    <row r="142" spans="1:11" hidden="1" outlineLevel="2" x14ac:dyDescent="0.25">
      <c r="A142" s="206">
        <v>44482</v>
      </c>
      <c r="B142" s="28" t="s">
        <v>245</v>
      </c>
      <c r="C142" s="39">
        <v>380</v>
      </c>
      <c r="D142" s="28" t="s">
        <v>538</v>
      </c>
      <c r="E142" s="28">
        <v>6575</v>
      </c>
      <c r="F142" s="24">
        <v>58.497399999999999</v>
      </c>
      <c r="G142" s="24">
        <v>12.284454</v>
      </c>
      <c r="H142" s="24">
        <v>11.975199999999999</v>
      </c>
      <c r="I142" s="24">
        <v>1.5993999999999999</v>
      </c>
      <c r="J142" s="24">
        <f t="shared" si="1"/>
        <v>25339.6008</v>
      </c>
      <c r="K142" s="28" t="s">
        <v>535</v>
      </c>
    </row>
    <row r="143" spans="1:11" hidden="1" outlineLevel="2" x14ac:dyDescent="0.25">
      <c r="A143" s="206">
        <v>44486</v>
      </c>
      <c r="B143" s="28" t="s">
        <v>245</v>
      </c>
      <c r="C143" s="39">
        <v>310</v>
      </c>
      <c r="D143" s="28" t="s">
        <v>633</v>
      </c>
      <c r="E143" s="28">
        <v>6713</v>
      </c>
      <c r="F143" s="24">
        <v>60.876800000000003</v>
      </c>
      <c r="G143" s="24">
        <v>12.784128000000001</v>
      </c>
      <c r="H143" s="24">
        <v>12.826000000000001</v>
      </c>
      <c r="I143" s="24">
        <v>1.4631000000000001</v>
      </c>
      <c r="J143" s="24">
        <f t="shared" si="1"/>
        <v>21512.202000000001</v>
      </c>
      <c r="K143" s="28" t="s">
        <v>535</v>
      </c>
    </row>
    <row r="144" spans="1:11" hidden="1" outlineLevel="2" x14ac:dyDescent="0.25">
      <c r="A144" s="206">
        <v>44489</v>
      </c>
      <c r="B144" s="28" t="s">
        <v>245</v>
      </c>
      <c r="C144" s="39">
        <v>658</v>
      </c>
      <c r="D144" s="28" t="s">
        <v>634</v>
      </c>
      <c r="E144" s="28">
        <v>6715</v>
      </c>
      <c r="F144" s="24">
        <v>60.876800000000003</v>
      </c>
      <c r="G144" s="24">
        <v>12.784128000000001</v>
      </c>
      <c r="H144" s="24">
        <v>12.826000000000001</v>
      </c>
      <c r="I144" s="24">
        <v>1.4631000000000001</v>
      </c>
      <c r="J144" s="24">
        <f t="shared" ref="J144:J214" si="2">C144*(F144+H144*0.55+I144)</f>
        <v>45661.383600000001</v>
      </c>
      <c r="K144" s="28" t="s">
        <v>535</v>
      </c>
    </row>
    <row r="145" spans="1:11" hidden="1" outlineLevel="2" x14ac:dyDescent="0.25">
      <c r="A145" s="206">
        <v>44492</v>
      </c>
      <c r="B145" s="28" t="s">
        <v>245</v>
      </c>
      <c r="C145" s="39">
        <v>576</v>
      </c>
      <c r="D145" s="28" t="s">
        <v>635</v>
      </c>
      <c r="E145" s="28">
        <v>6716</v>
      </c>
      <c r="F145" s="24">
        <v>60.876800000000003</v>
      </c>
      <c r="G145" s="24">
        <v>12.784128000000001</v>
      </c>
      <c r="H145" s="24">
        <v>12.826000000000001</v>
      </c>
      <c r="I145" s="24">
        <v>1.4631000000000001</v>
      </c>
      <c r="J145" s="24">
        <f t="shared" si="2"/>
        <v>39971.059199999996</v>
      </c>
      <c r="K145" s="28" t="s">
        <v>535</v>
      </c>
    </row>
    <row r="146" spans="1:11" s="214" customFormat="1" outlineLevel="1" collapsed="1" x14ac:dyDescent="0.25">
      <c r="A146" s="220"/>
      <c r="B146" s="221" t="s">
        <v>651</v>
      </c>
      <c r="C146" s="222">
        <f>SUBTOTAL(9,C140:C145)</f>
        <v>3349</v>
      </c>
      <c r="D146" s="718"/>
      <c r="E146" s="719"/>
      <c r="F146" s="719"/>
      <c r="G146" s="719"/>
      <c r="H146" s="719"/>
      <c r="I146" s="720"/>
      <c r="J146" s="223">
        <f>SUBTOTAL(9,J140:J145)</f>
        <v>227507.74859999999</v>
      </c>
      <c r="K146" s="221"/>
    </row>
    <row r="147" spans="1:11" hidden="1" outlineLevel="2" x14ac:dyDescent="0.25">
      <c r="A147" s="206">
        <v>44472</v>
      </c>
      <c r="B147" s="28" t="s">
        <v>269</v>
      </c>
      <c r="C147" s="39">
        <v>475</v>
      </c>
      <c r="D147" s="28" t="s">
        <v>534</v>
      </c>
      <c r="E147" s="28">
        <v>6561</v>
      </c>
      <c r="F147" s="24">
        <v>58.497399999999999</v>
      </c>
      <c r="G147" s="24">
        <v>12.284454</v>
      </c>
      <c r="H147" s="24">
        <v>11.975199999999999</v>
      </c>
      <c r="I147" s="24">
        <v>1.5993999999999999</v>
      </c>
      <c r="J147" s="24">
        <f t="shared" si="2"/>
        <v>31674.501</v>
      </c>
      <c r="K147" s="28" t="s">
        <v>535</v>
      </c>
    </row>
    <row r="148" spans="1:11" hidden="1" outlineLevel="2" x14ac:dyDescent="0.25">
      <c r="A148" s="206">
        <v>44475</v>
      </c>
      <c r="B148" s="28" t="s">
        <v>269</v>
      </c>
      <c r="C148" s="39">
        <v>459</v>
      </c>
      <c r="D148" s="28" t="s">
        <v>536</v>
      </c>
      <c r="E148" s="28">
        <v>6562</v>
      </c>
      <c r="F148" s="24">
        <v>58.497399999999999</v>
      </c>
      <c r="G148" s="24">
        <v>12.284454</v>
      </c>
      <c r="H148" s="24">
        <v>11.975199999999999</v>
      </c>
      <c r="I148" s="24">
        <v>1.5993999999999999</v>
      </c>
      <c r="J148" s="24">
        <f t="shared" si="2"/>
        <v>30607.57044</v>
      </c>
      <c r="K148" s="28" t="s">
        <v>535</v>
      </c>
    </row>
    <row r="149" spans="1:11" hidden="1" outlineLevel="2" x14ac:dyDescent="0.25">
      <c r="A149" s="206">
        <v>44480</v>
      </c>
      <c r="B149" s="28" t="s">
        <v>269</v>
      </c>
      <c r="C149" s="39">
        <v>365</v>
      </c>
      <c r="D149" s="28" t="s">
        <v>537</v>
      </c>
      <c r="E149" s="28">
        <v>6574</v>
      </c>
      <c r="F149" s="24">
        <v>58.497399999999999</v>
      </c>
      <c r="G149" s="24">
        <v>12.284454</v>
      </c>
      <c r="H149" s="24">
        <v>11.975199999999999</v>
      </c>
      <c r="I149" s="24">
        <v>1.5993999999999999</v>
      </c>
      <c r="J149" s="24">
        <f t="shared" si="2"/>
        <v>24339.3534</v>
      </c>
      <c r="K149" s="28" t="s">
        <v>535</v>
      </c>
    </row>
    <row r="150" spans="1:11" hidden="1" outlineLevel="2" x14ac:dyDescent="0.25">
      <c r="A150" s="211" t="s">
        <v>595</v>
      </c>
      <c r="B150" s="208" t="s">
        <v>269</v>
      </c>
      <c r="C150" s="213">
        <v>628.69000000000005</v>
      </c>
      <c r="D150" s="208" t="s">
        <v>573</v>
      </c>
      <c r="E150" s="208" t="s">
        <v>552</v>
      </c>
      <c r="F150" s="207">
        <v>61.743189600000001</v>
      </c>
      <c r="G150" s="24">
        <v>12.966069815999999</v>
      </c>
      <c r="H150" s="24">
        <v>12.21865056317438</v>
      </c>
      <c r="I150" s="24">
        <v>1.3937217101902071</v>
      </c>
      <c r="J150" s="24">
        <f t="shared" si="2"/>
        <v>43918.503654012638</v>
      </c>
      <c r="K150" s="28" t="s">
        <v>535</v>
      </c>
    </row>
    <row r="151" spans="1:11" hidden="1" outlineLevel="2" x14ac:dyDescent="0.25">
      <c r="A151" s="206">
        <v>44485</v>
      </c>
      <c r="B151" s="28" t="s">
        <v>269</v>
      </c>
      <c r="C151" s="39">
        <v>290</v>
      </c>
      <c r="D151" s="28" t="s">
        <v>633</v>
      </c>
      <c r="E151" s="28">
        <v>6713</v>
      </c>
      <c r="F151" s="24">
        <v>60.876800000000003</v>
      </c>
      <c r="G151" s="24">
        <v>12.784128000000001</v>
      </c>
      <c r="H151" s="24">
        <v>12.826000000000001</v>
      </c>
      <c r="I151" s="24">
        <v>1.4631000000000001</v>
      </c>
      <c r="J151" s="24">
        <f t="shared" si="2"/>
        <v>20124.317999999999</v>
      </c>
      <c r="K151" s="28" t="s">
        <v>535</v>
      </c>
    </row>
    <row r="152" spans="1:11" hidden="1" outlineLevel="2" x14ac:dyDescent="0.25">
      <c r="A152" s="206">
        <v>44489</v>
      </c>
      <c r="B152" s="28" t="s">
        <v>269</v>
      </c>
      <c r="C152" s="39">
        <v>477</v>
      </c>
      <c r="D152" s="28" t="s">
        <v>634</v>
      </c>
      <c r="E152" s="28">
        <v>6715</v>
      </c>
      <c r="F152" s="24">
        <v>60.876800000000003</v>
      </c>
      <c r="G152" s="24">
        <v>12.784128000000001</v>
      </c>
      <c r="H152" s="24">
        <v>12.826000000000001</v>
      </c>
      <c r="I152" s="24">
        <v>1.4631000000000001</v>
      </c>
      <c r="J152" s="24">
        <f t="shared" si="2"/>
        <v>33101.0334</v>
      </c>
      <c r="K152" s="28" t="s">
        <v>535</v>
      </c>
    </row>
    <row r="153" spans="1:11" hidden="1" outlineLevel="2" x14ac:dyDescent="0.25">
      <c r="A153" s="206">
        <v>44493</v>
      </c>
      <c r="B153" s="28" t="s">
        <v>269</v>
      </c>
      <c r="C153" s="39">
        <v>649</v>
      </c>
      <c r="D153" s="28" t="s">
        <v>635</v>
      </c>
      <c r="E153" s="28">
        <v>6716</v>
      </c>
      <c r="F153" s="24">
        <v>60.876800000000003</v>
      </c>
      <c r="G153" s="24">
        <v>12.784128000000001</v>
      </c>
      <c r="H153" s="24">
        <v>12.826000000000001</v>
      </c>
      <c r="I153" s="24">
        <v>1.4631000000000001</v>
      </c>
      <c r="J153" s="24">
        <f t="shared" si="2"/>
        <v>45036.835800000001</v>
      </c>
      <c r="K153" s="28" t="s">
        <v>535</v>
      </c>
    </row>
    <row r="154" spans="1:11" s="214" customFormat="1" outlineLevel="1" collapsed="1" x14ac:dyDescent="0.25">
      <c r="A154" s="220"/>
      <c r="B154" s="221" t="s">
        <v>652</v>
      </c>
      <c r="C154" s="222">
        <f>SUBTOTAL(9,C147:C153)</f>
        <v>3343.69</v>
      </c>
      <c r="D154" s="718"/>
      <c r="E154" s="719"/>
      <c r="F154" s="719"/>
      <c r="G154" s="719"/>
      <c r="H154" s="719"/>
      <c r="I154" s="720"/>
      <c r="J154" s="223">
        <f>SUBTOTAL(9,J147:J153)</f>
        <v>228802.11569401261</v>
      </c>
      <c r="K154" s="221"/>
    </row>
    <row r="155" spans="1:11" hidden="1" outlineLevel="2" x14ac:dyDescent="0.25">
      <c r="A155" s="206">
        <v>44488</v>
      </c>
      <c r="B155" s="28" t="s">
        <v>282</v>
      </c>
      <c r="C155" s="39">
        <v>102</v>
      </c>
      <c r="D155" s="28" t="s">
        <v>541</v>
      </c>
      <c r="E155" s="28">
        <v>6600</v>
      </c>
      <c r="F155" s="24">
        <v>58.537700000000001</v>
      </c>
      <c r="G155" s="24">
        <v>12.292916999999999</v>
      </c>
      <c r="H155" s="24">
        <v>11.975199999999999</v>
      </c>
      <c r="I155" s="24">
        <v>1.5993999999999999</v>
      </c>
      <c r="J155" s="24">
        <f t="shared" si="2"/>
        <v>6805.7929199999999</v>
      </c>
      <c r="K155" s="28" t="s">
        <v>540</v>
      </c>
    </row>
    <row r="156" spans="1:11" hidden="1" outlineLevel="2" x14ac:dyDescent="0.25">
      <c r="A156" s="206">
        <v>44493</v>
      </c>
      <c r="B156" s="28" t="s">
        <v>282</v>
      </c>
      <c r="C156" s="39">
        <v>381</v>
      </c>
      <c r="D156" s="28" t="s">
        <v>542</v>
      </c>
      <c r="E156" s="28">
        <v>6634</v>
      </c>
      <c r="F156" s="24">
        <v>58.537700000000001</v>
      </c>
      <c r="G156" s="24">
        <v>12.292916999999999</v>
      </c>
      <c r="H156" s="24">
        <v>11.975199999999999</v>
      </c>
      <c r="I156" s="24">
        <v>1.5993999999999999</v>
      </c>
      <c r="J156" s="24">
        <f t="shared" si="2"/>
        <v>25421.63826</v>
      </c>
      <c r="K156" s="28" t="s">
        <v>540</v>
      </c>
    </row>
    <row r="157" spans="1:11" hidden="1" outlineLevel="2" x14ac:dyDescent="0.25">
      <c r="A157" s="210">
        <v>44497</v>
      </c>
      <c r="B157" s="118" t="s">
        <v>282</v>
      </c>
      <c r="C157" s="212">
        <v>372.46712400000001</v>
      </c>
      <c r="D157" s="118" t="s">
        <v>549</v>
      </c>
      <c r="E157" s="28"/>
      <c r="F157" s="117">
        <v>65.640799999999999</v>
      </c>
      <c r="G157" s="117">
        <v>13.784567999999998</v>
      </c>
      <c r="H157" s="117">
        <v>11.975199999999999</v>
      </c>
      <c r="I157" s="117">
        <v>1.5993999999999999</v>
      </c>
      <c r="J157" s="24">
        <f t="shared" si="2"/>
        <v>27497.966478013441</v>
      </c>
      <c r="K157" s="118" t="s">
        <v>535</v>
      </c>
    </row>
    <row r="158" spans="1:11" hidden="1" outlineLevel="2" x14ac:dyDescent="0.25">
      <c r="A158" s="211" t="s">
        <v>596</v>
      </c>
      <c r="B158" s="208" t="s">
        <v>282</v>
      </c>
      <c r="C158" s="213">
        <v>100.01</v>
      </c>
      <c r="D158" s="208" t="s">
        <v>551</v>
      </c>
      <c r="E158" s="208" t="s">
        <v>552</v>
      </c>
      <c r="F158" s="207">
        <v>61.743189600000001</v>
      </c>
      <c r="G158" s="24">
        <v>12.966069815999999</v>
      </c>
      <c r="H158" s="24">
        <v>12.21865056317438</v>
      </c>
      <c r="I158" s="24">
        <v>1.3937217101902071</v>
      </c>
      <c r="J158" s="24">
        <f t="shared" si="2"/>
        <v>6986.4154836848111</v>
      </c>
      <c r="K158" s="28" t="s">
        <v>535</v>
      </c>
    </row>
    <row r="159" spans="1:11" hidden="1" outlineLevel="2" x14ac:dyDescent="0.25">
      <c r="A159" s="211" t="s">
        <v>597</v>
      </c>
      <c r="B159" s="208" t="s">
        <v>282</v>
      </c>
      <c r="C159" s="213">
        <v>100.09</v>
      </c>
      <c r="D159" s="208" t="s">
        <v>598</v>
      </c>
      <c r="E159" s="208" t="s">
        <v>552</v>
      </c>
      <c r="F159" s="207">
        <v>61.743189600000001</v>
      </c>
      <c r="G159" s="24">
        <v>12.966069815999999</v>
      </c>
      <c r="H159" s="24">
        <v>12.21865056317438</v>
      </c>
      <c r="I159" s="24">
        <v>1.3937217101902071</v>
      </c>
      <c r="J159" s="24">
        <f t="shared" si="2"/>
        <v>6992.0040572144062</v>
      </c>
      <c r="K159" s="28" t="s">
        <v>535</v>
      </c>
    </row>
    <row r="160" spans="1:11" hidden="1" outlineLevel="2" x14ac:dyDescent="0.25">
      <c r="A160" s="206">
        <v>44487</v>
      </c>
      <c r="B160" s="28" t="s">
        <v>282</v>
      </c>
      <c r="C160" s="39">
        <v>488</v>
      </c>
      <c r="D160" s="28" t="s">
        <v>633</v>
      </c>
      <c r="E160" s="28">
        <v>6713</v>
      </c>
      <c r="F160" s="24">
        <v>60.876800000000003</v>
      </c>
      <c r="G160" s="24">
        <v>12.784128000000001</v>
      </c>
      <c r="H160" s="24">
        <v>12.826000000000001</v>
      </c>
      <c r="I160" s="24">
        <v>1.4631000000000001</v>
      </c>
      <c r="J160" s="24">
        <f t="shared" si="2"/>
        <v>33864.369599999998</v>
      </c>
      <c r="K160" s="118" t="s">
        <v>535</v>
      </c>
    </row>
    <row r="161" spans="1:11" s="214" customFormat="1" outlineLevel="1" collapsed="1" x14ac:dyDescent="0.25">
      <c r="A161" s="220"/>
      <c r="B161" s="221" t="s">
        <v>653</v>
      </c>
      <c r="C161" s="222">
        <f>SUBTOTAL(9,C155:C160)</f>
        <v>1543.5671239999999</v>
      </c>
      <c r="D161" s="718"/>
      <c r="E161" s="719"/>
      <c r="F161" s="719"/>
      <c r="G161" s="719"/>
      <c r="H161" s="719"/>
      <c r="I161" s="720"/>
      <c r="J161" s="223">
        <f>SUBTOTAL(9,J155:J160)</f>
        <v>107568.18679891265</v>
      </c>
      <c r="K161" s="221"/>
    </row>
    <row r="162" spans="1:11" hidden="1" outlineLevel="2" x14ac:dyDescent="0.25">
      <c r="A162" s="206">
        <v>44471</v>
      </c>
      <c r="B162" s="28" t="s">
        <v>285</v>
      </c>
      <c r="C162" s="39">
        <v>474</v>
      </c>
      <c r="D162" s="28" t="s">
        <v>534</v>
      </c>
      <c r="E162" s="28">
        <v>6561</v>
      </c>
      <c r="F162" s="24">
        <v>58.497399999999999</v>
      </c>
      <c r="G162" s="24">
        <v>12.284454</v>
      </c>
      <c r="H162" s="24">
        <v>11.975199999999999</v>
      </c>
      <c r="I162" s="24">
        <v>1.5993999999999999</v>
      </c>
      <c r="J162" s="24">
        <f t="shared" si="2"/>
        <v>31607.81784</v>
      </c>
      <c r="K162" s="28" t="s">
        <v>535</v>
      </c>
    </row>
    <row r="163" spans="1:11" hidden="1" outlineLevel="2" x14ac:dyDescent="0.25">
      <c r="A163" s="211" t="s">
        <v>599</v>
      </c>
      <c r="B163" s="208" t="s">
        <v>285</v>
      </c>
      <c r="C163" s="213">
        <v>338</v>
      </c>
      <c r="D163" s="208" t="s">
        <v>600</v>
      </c>
      <c r="E163" s="208" t="s">
        <v>552</v>
      </c>
      <c r="F163" s="207">
        <v>61.743189600000001</v>
      </c>
      <c r="G163" s="24">
        <v>12.966069815999999</v>
      </c>
      <c r="H163" s="24">
        <v>12.21865056317438</v>
      </c>
      <c r="I163" s="24">
        <v>1.3937217101902071</v>
      </c>
      <c r="J163" s="24">
        <f t="shared" si="2"/>
        <v>23611.723162538408</v>
      </c>
      <c r="K163" s="28" t="s">
        <v>535</v>
      </c>
    </row>
    <row r="164" spans="1:11" hidden="1" outlineLevel="2" x14ac:dyDescent="0.25">
      <c r="A164" s="211" t="s">
        <v>601</v>
      </c>
      <c r="B164" s="208" t="s">
        <v>285</v>
      </c>
      <c r="C164" s="213">
        <v>624.6</v>
      </c>
      <c r="D164" s="208" t="s">
        <v>602</v>
      </c>
      <c r="E164" s="208" t="s">
        <v>552</v>
      </c>
      <c r="F164" s="207">
        <v>61.743189600000001</v>
      </c>
      <c r="G164" s="24">
        <v>12.966069815999999</v>
      </c>
      <c r="H164" s="24">
        <v>12.21865056317438</v>
      </c>
      <c r="I164" s="24">
        <v>1.3937217101902071</v>
      </c>
      <c r="J164" s="24">
        <f t="shared" si="2"/>
        <v>43632.787832312097</v>
      </c>
      <c r="K164" s="28" t="s">
        <v>535</v>
      </c>
    </row>
    <row r="165" spans="1:11" hidden="1" outlineLevel="2" x14ac:dyDescent="0.25">
      <c r="A165" s="206">
        <v>44483</v>
      </c>
      <c r="B165" s="28" t="s">
        <v>285</v>
      </c>
      <c r="C165" s="39">
        <v>113</v>
      </c>
      <c r="D165" s="28" t="s">
        <v>633</v>
      </c>
      <c r="E165" s="28">
        <v>6713</v>
      </c>
      <c r="F165" s="24">
        <v>60.876800000000003</v>
      </c>
      <c r="G165" s="24">
        <v>12.784128000000001</v>
      </c>
      <c r="H165" s="24">
        <v>12.826000000000001</v>
      </c>
      <c r="I165" s="24">
        <v>1.4631000000000001</v>
      </c>
      <c r="J165" s="24">
        <f t="shared" si="2"/>
        <v>7841.5446000000002</v>
      </c>
      <c r="K165" s="28" t="s">
        <v>535</v>
      </c>
    </row>
    <row r="166" spans="1:11" hidden="1" outlineLevel="2" x14ac:dyDescent="0.25">
      <c r="A166" s="206">
        <v>44488</v>
      </c>
      <c r="B166" s="28" t="s">
        <v>285</v>
      </c>
      <c r="C166" s="39">
        <v>537</v>
      </c>
      <c r="D166" s="28" t="s">
        <v>634</v>
      </c>
      <c r="E166" s="28">
        <v>6715</v>
      </c>
      <c r="F166" s="24">
        <v>60.876800000000003</v>
      </c>
      <c r="G166" s="24">
        <v>12.784128000000001</v>
      </c>
      <c r="H166" s="24">
        <v>12.826000000000001</v>
      </c>
      <c r="I166" s="24">
        <v>1.4631000000000001</v>
      </c>
      <c r="J166" s="24">
        <f t="shared" si="2"/>
        <v>37264.685400000002</v>
      </c>
      <c r="K166" s="28" t="s">
        <v>535</v>
      </c>
    </row>
    <row r="167" spans="1:11" hidden="1" outlineLevel="2" x14ac:dyDescent="0.25">
      <c r="A167" s="206">
        <v>44494</v>
      </c>
      <c r="B167" s="28" t="s">
        <v>285</v>
      </c>
      <c r="C167" s="39">
        <v>525</v>
      </c>
      <c r="D167" s="28" t="s">
        <v>636</v>
      </c>
      <c r="E167" s="28">
        <v>6728</v>
      </c>
      <c r="F167" s="24">
        <v>60.876800000000003</v>
      </c>
      <c r="G167" s="24">
        <v>12.784128000000001</v>
      </c>
      <c r="H167" s="24">
        <v>12.826000000000001</v>
      </c>
      <c r="I167" s="24">
        <v>1.4631000000000001</v>
      </c>
      <c r="J167" s="24">
        <f t="shared" si="2"/>
        <v>36431.955000000002</v>
      </c>
      <c r="K167" s="28" t="s">
        <v>535</v>
      </c>
    </row>
    <row r="168" spans="1:11" s="214" customFormat="1" outlineLevel="1" collapsed="1" x14ac:dyDescent="0.25">
      <c r="A168" s="220"/>
      <c r="B168" s="221" t="s">
        <v>654</v>
      </c>
      <c r="C168" s="222">
        <f>SUBTOTAL(9,C162:C167)</f>
        <v>2611.6</v>
      </c>
      <c r="D168" s="718"/>
      <c r="E168" s="719"/>
      <c r="F168" s="719"/>
      <c r="G168" s="719"/>
      <c r="H168" s="719"/>
      <c r="I168" s="720"/>
      <c r="J168" s="223">
        <f>SUBTOTAL(9,J162:J167)</f>
        <v>180390.51383485051</v>
      </c>
      <c r="K168" s="221"/>
    </row>
    <row r="169" spans="1:11" hidden="1" outlineLevel="2" x14ac:dyDescent="0.25">
      <c r="A169" s="206">
        <v>44470</v>
      </c>
      <c r="B169" s="28" t="s">
        <v>288</v>
      </c>
      <c r="C169" s="39">
        <v>585</v>
      </c>
      <c r="D169" s="28" t="s">
        <v>534</v>
      </c>
      <c r="E169" s="28">
        <v>6561</v>
      </c>
      <c r="F169" s="24">
        <v>58.497399999999999</v>
      </c>
      <c r="G169" s="24">
        <v>12.284454</v>
      </c>
      <c r="H169" s="24">
        <v>11.975199999999999</v>
      </c>
      <c r="I169" s="24">
        <v>1.5993999999999999</v>
      </c>
      <c r="J169" s="24">
        <f t="shared" si="2"/>
        <v>39009.6486</v>
      </c>
      <c r="K169" s="28" t="s">
        <v>535</v>
      </c>
    </row>
    <row r="170" spans="1:11" hidden="1" outlineLevel="2" x14ac:dyDescent="0.25">
      <c r="A170" s="206">
        <v>44482</v>
      </c>
      <c r="B170" s="28" t="s">
        <v>288</v>
      </c>
      <c r="C170" s="39">
        <v>380</v>
      </c>
      <c r="D170" s="28" t="s">
        <v>538</v>
      </c>
      <c r="E170" s="28">
        <v>6575</v>
      </c>
      <c r="F170" s="24">
        <v>58.497399999999999</v>
      </c>
      <c r="G170" s="24">
        <v>12.284454</v>
      </c>
      <c r="H170" s="24">
        <v>11.975199999999999</v>
      </c>
      <c r="I170" s="24">
        <v>1.5993999999999999</v>
      </c>
      <c r="J170" s="24">
        <f t="shared" si="2"/>
        <v>25339.6008</v>
      </c>
      <c r="K170" s="28" t="s">
        <v>535</v>
      </c>
    </row>
    <row r="171" spans="1:11" hidden="1" outlineLevel="2" x14ac:dyDescent="0.25">
      <c r="A171" s="211" t="s">
        <v>603</v>
      </c>
      <c r="B171" s="208" t="s">
        <v>288</v>
      </c>
      <c r="C171" s="213">
        <v>350.1</v>
      </c>
      <c r="D171" s="208" t="s">
        <v>604</v>
      </c>
      <c r="E171" s="208" t="s">
        <v>552</v>
      </c>
      <c r="F171" s="207">
        <v>61.743189600000001</v>
      </c>
      <c r="G171" s="24">
        <v>12.966069815999999</v>
      </c>
      <c r="H171" s="24">
        <v>12.21865056317438</v>
      </c>
      <c r="I171" s="24">
        <v>1.3937217101902071</v>
      </c>
      <c r="J171" s="24">
        <f t="shared" si="2"/>
        <v>24456.994908889636</v>
      </c>
      <c r="K171" s="28" t="s">
        <v>535</v>
      </c>
    </row>
    <row r="172" spans="1:11" hidden="1" outlineLevel="2" x14ac:dyDescent="0.25">
      <c r="A172" s="211" t="s">
        <v>605</v>
      </c>
      <c r="B172" s="208" t="s">
        <v>288</v>
      </c>
      <c r="C172" s="213">
        <v>250</v>
      </c>
      <c r="D172" s="208" t="s">
        <v>602</v>
      </c>
      <c r="E172" s="208" t="s">
        <v>552</v>
      </c>
      <c r="F172" s="207">
        <v>61.743189600000001</v>
      </c>
      <c r="G172" s="24">
        <v>12.966069815999999</v>
      </c>
      <c r="H172" s="24">
        <v>12.21865056317438</v>
      </c>
      <c r="I172" s="24">
        <v>1.3937217101902071</v>
      </c>
      <c r="J172" s="24">
        <f t="shared" si="2"/>
        <v>17464.292279984031</v>
      </c>
      <c r="K172" s="28" t="s">
        <v>535</v>
      </c>
    </row>
    <row r="173" spans="1:11" hidden="1" outlineLevel="2" x14ac:dyDescent="0.25">
      <c r="A173" s="211" t="s">
        <v>606</v>
      </c>
      <c r="B173" s="208" t="s">
        <v>288</v>
      </c>
      <c r="C173" s="213">
        <v>300</v>
      </c>
      <c r="D173" s="208" t="s">
        <v>607</v>
      </c>
      <c r="E173" s="208" t="s">
        <v>552</v>
      </c>
      <c r="F173" s="207">
        <v>61.743189600000001</v>
      </c>
      <c r="G173" s="24">
        <v>12.966069815999999</v>
      </c>
      <c r="H173" s="24">
        <v>12.21865056317438</v>
      </c>
      <c r="I173" s="24">
        <v>1.3937217101902071</v>
      </c>
      <c r="J173" s="24">
        <f t="shared" si="2"/>
        <v>20957.150735980835</v>
      </c>
      <c r="K173" s="28" t="s">
        <v>535</v>
      </c>
    </row>
    <row r="174" spans="1:11" hidden="1" outlineLevel="2" x14ac:dyDescent="0.25">
      <c r="A174" s="211" t="s">
        <v>608</v>
      </c>
      <c r="B174" s="208" t="s">
        <v>288</v>
      </c>
      <c r="C174" s="213">
        <v>200</v>
      </c>
      <c r="D174" s="208" t="s">
        <v>584</v>
      </c>
      <c r="E174" s="208" t="s">
        <v>552</v>
      </c>
      <c r="F174" s="207">
        <v>61.743189600000001</v>
      </c>
      <c r="G174" s="24">
        <v>12.966069815999999</v>
      </c>
      <c r="H174" s="24">
        <v>12.21865056317438</v>
      </c>
      <c r="I174" s="24">
        <v>1.3937217101902071</v>
      </c>
      <c r="J174" s="24">
        <f t="shared" si="2"/>
        <v>13971.433823987223</v>
      </c>
      <c r="K174" s="28" t="s">
        <v>535</v>
      </c>
    </row>
    <row r="175" spans="1:11" hidden="1" outlineLevel="2" x14ac:dyDescent="0.25">
      <c r="A175" s="211" t="s">
        <v>609</v>
      </c>
      <c r="B175" s="208" t="s">
        <v>288</v>
      </c>
      <c r="C175" s="213">
        <v>300</v>
      </c>
      <c r="D175" s="208" t="s">
        <v>610</v>
      </c>
      <c r="E175" s="208" t="s">
        <v>552</v>
      </c>
      <c r="F175" s="207">
        <v>61.743189600000001</v>
      </c>
      <c r="G175" s="24">
        <v>12.966069815999999</v>
      </c>
      <c r="H175" s="24">
        <v>12.21865056317438</v>
      </c>
      <c r="I175" s="24">
        <v>1.3937217101902071</v>
      </c>
      <c r="J175" s="24">
        <f t="shared" si="2"/>
        <v>20957.150735980835</v>
      </c>
      <c r="K175" s="28" t="s">
        <v>535</v>
      </c>
    </row>
    <row r="176" spans="1:11" hidden="1" outlineLevel="2" x14ac:dyDescent="0.25">
      <c r="A176" s="211" t="s">
        <v>611</v>
      </c>
      <c r="B176" s="208" t="s">
        <v>288</v>
      </c>
      <c r="C176" s="213">
        <v>400.01</v>
      </c>
      <c r="D176" s="208" t="s">
        <v>602</v>
      </c>
      <c r="E176" s="208" t="s">
        <v>552</v>
      </c>
      <c r="F176" s="207">
        <v>61.743189600000001</v>
      </c>
      <c r="G176" s="24">
        <v>12.966069815999999</v>
      </c>
      <c r="H176" s="24">
        <v>12.21865056317438</v>
      </c>
      <c r="I176" s="24">
        <v>1.3937217101902071</v>
      </c>
      <c r="J176" s="24">
        <f t="shared" si="2"/>
        <v>27943.566219665645</v>
      </c>
      <c r="K176" s="28" t="s">
        <v>535</v>
      </c>
    </row>
    <row r="177" spans="1:11" hidden="1" outlineLevel="2" x14ac:dyDescent="0.25">
      <c r="A177" s="206">
        <v>44484</v>
      </c>
      <c r="B177" s="28" t="s">
        <v>288</v>
      </c>
      <c r="C177" s="39">
        <v>535</v>
      </c>
      <c r="D177" s="28" t="s">
        <v>633</v>
      </c>
      <c r="E177" s="28">
        <v>6713</v>
      </c>
      <c r="F177" s="24">
        <v>60.876800000000003</v>
      </c>
      <c r="G177" s="24">
        <v>12.784128000000001</v>
      </c>
      <c r="H177" s="24">
        <v>12.826000000000001</v>
      </c>
      <c r="I177" s="24">
        <v>1.4631000000000001</v>
      </c>
      <c r="J177" s="24">
        <f t="shared" si="2"/>
        <v>37125.896999999997</v>
      </c>
      <c r="K177" s="28" t="s">
        <v>535</v>
      </c>
    </row>
    <row r="178" spans="1:11" hidden="1" outlineLevel="2" x14ac:dyDescent="0.25">
      <c r="A178" s="206">
        <v>44490</v>
      </c>
      <c r="B178" s="28" t="s">
        <v>288</v>
      </c>
      <c r="C178" s="39">
        <v>430</v>
      </c>
      <c r="D178" s="28" t="s">
        <v>635</v>
      </c>
      <c r="E178" s="28">
        <v>6716</v>
      </c>
      <c r="F178" s="24">
        <v>60.876800000000003</v>
      </c>
      <c r="G178" s="24">
        <v>12.784128000000001</v>
      </c>
      <c r="H178" s="24">
        <v>12.826000000000001</v>
      </c>
      <c r="I178" s="24">
        <v>1.4631000000000001</v>
      </c>
      <c r="J178" s="24">
        <f t="shared" si="2"/>
        <v>29839.505999999998</v>
      </c>
      <c r="K178" s="28" t="s">
        <v>535</v>
      </c>
    </row>
    <row r="179" spans="1:11" hidden="1" outlineLevel="2" x14ac:dyDescent="0.25">
      <c r="A179" s="206">
        <v>44494</v>
      </c>
      <c r="B179" s="28" t="s">
        <v>288</v>
      </c>
      <c r="C179" s="39">
        <v>250</v>
      </c>
      <c r="D179" s="28" t="s">
        <v>636</v>
      </c>
      <c r="E179" s="28">
        <v>6728</v>
      </c>
      <c r="F179" s="24">
        <v>60.876800000000003</v>
      </c>
      <c r="G179" s="24">
        <v>12.784128000000001</v>
      </c>
      <c r="H179" s="24">
        <v>12.826000000000001</v>
      </c>
      <c r="I179" s="24">
        <v>1.4631000000000001</v>
      </c>
      <c r="J179" s="24">
        <f t="shared" si="2"/>
        <v>17348.55</v>
      </c>
      <c r="K179" s="28" t="s">
        <v>535</v>
      </c>
    </row>
    <row r="180" spans="1:11" hidden="1" outlineLevel="2" x14ac:dyDescent="0.25">
      <c r="A180" s="206">
        <v>44499</v>
      </c>
      <c r="B180" s="28" t="s">
        <v>288</v>
      </c>
      <c r="C180" s="39">
        <v>635</v>
      </c>
      <c r="D180" s="28" t="s">
        <v>637</v>
      </c>
      <c r="E180" s="28">
        <v>6729</v>
      </c>
      <c r="F180" s="24">
        <v>60.876800000000003</v>
      </c>
      <c r="G180" s="24">
        <v>12.784128000000001</v>
      </c>
      <c r="H180" s="24">
        <v>12.826000000000001</v>
      </c>
      <c r="I180" s="24">
        <v>1.4631000000000001</v>
      </c>
      <c r="J180" s="24">
        <f t="shared" si="2"/>
        <v>44065.316999999995</v>
      </c>
      <c r="K180" s="28" t="s">
        <v>535</v>
      </c>
    </row>
    <row r="181" spans="1:11" s="214" customFormat="1" outlineLevel="1" collapsed="1" x14ac:dyDescent="0.25">
      <c r="A181" s="220"/>
      <c r="B181" s="221" t="s">
        <v>655</v>
      </c>
      <c r="C181" s="222">
        <f>SUBTOTAL(9,C169:C180)</f>
        <v>4615.1099999999997</v>
      </c>
      <c r="D181" s="718"/>
      <c r="E181" s="719"/>
      <c r="F181" s="719"/>
      <c r="G181" s="719"/>
      <c r="H181" s="719"/>
      <c r="I181" s="720"/>
      <c r="J181" s="223">
        <f>SUBTOTAL(9,J169:J180)</f>
        <v>318479.10810448817</v>
      </c>
      <c r="K181" s="221"/>
    </row>
    <row r="182" spans="1:11" hidden="1" outlineLevel="2" x14ac:dyDescent="0.25">
      <c r="A182" s="206">
        <v>44473</v>
      </c>
      <c r="B182" s="28" t="s">
        <v>302</v>
      </c>
      <c r="C182" s="39">
        <v>325</v>
      </c>
      <c r="D182" s="28" t="s">
        <v>536</v>
      </c>
      <c r="E182" s="28">
        <v>6562</v>
      </c>
      <c r="F182" s="24">
        <v>58.497399999999999</v>
      </c>
      <c r="G182" s="24">
        <v>12.284454</v>
      </c>
      <c r="H182" s="24">
        <v>11.975199999999999</v>
      </c>
      <c r="I182" s="24">
        <v>1.5993999999999999</v>
      </c>
      <c r="J182" s="24">
        <f t="shared" si="2"/>
        <v>21672.027000000002</v>
      </c>
      <c r="K182" s="28" t="s">
        <v>535</v>
      </c>
    </row>
    <row r="183" spans="1:11" hidden="1" outlineLevel="2" x14ac:dyDescent="0.25">
      <c r="A183" s="206">
        <v>44476</v>
      </c>
      <c r="B183" s="28" t="s">
        <v>302</v>
      </c>
      <c r="C183" s="39">
        <v>423</v>
      </c>
      <c r="D183" s="28" t="s">
        <v>537</v>
      </c>
      <c r="E183" s="28">
        <v>6574</v>
      </c>
      <c r="F183" s="24">
        <v>58.497399999999999</v>
      </c>
      <c r="G183" s="24">
        <v>12.284454</v>
      </c>
      <c r="H183" s="24">
        <v>11.975199999999999</v>
      </c>
      <c r="I183" s="24">
        <v>1.5993999999999999</v>
      </c>
      <c r="J183" s="24">
        <f t="shared" si="2"/>
        <v>28206.97668</v>
      </c>
      <c r="K183" s="28" t="s">
        <v>535</v>
      </c>
    </row>
    <row r="184" spans="1:11" hidden="1" outlineLevel="2" x14ac:dyDescent="0.25">
      <c r="A184" s="206">
        <v>44480</v>
      </c>
      <c r="B184" s="28" t="s">
        <v>302</v>
      </c>
      <c r="C184" s="39">
        <v>434</v>
      </c>
      <c r="D184" s="28" t="s">
        <v>537</v>
      </c>
      <c r="E184" s="28">
        <v>6574</v>
      </c>
      <c r="F184" s="24">
        <v>58.497399999999999</v>
      </c>
      <c r="G184" s="24">
        <v>12.284454</v>
      </c>
      <c r="H184" s="24">
        <v>11.975199999999999</v>
      </c>
      <c r="I184" s="24">
        <v>1.5993999999999999</v>
      </c>
      <c r="J184" s="24">
        <f t="shared" si="2"/>
        <v>28940.491440000002</v>
      </c>
      <c r="K184" s="28" t="s">
        <v>535</v>
      </c>
    </row>
    <row r="185" spans="1:11" hidden="1" outlineLevel="2" x14ac:dyDescent="0.25">
      <c r="A185" s="206">
        <v>44482</v>
      </c>
      <c r="B185" s="28" t="s">
        <v>302</v>
      </c>
      <c r="C185" s="39">
        <v>400</v>
      </c>
      <c r="D185" s="28" t="s">
        <v>538</v>
      </c>
      <c r="E185" s="28">
        <v>6575</v>
      </c>
      <c r="F185" s="24">
        <v>58.497399999999999</v>
      </c>
      <c r="G185" s="24">
        <v>12.284454</v>
      </c>
      <c r="H185" s="24">
        <v>11.975199999999999</v>
      </c>
      <c r="I185" s="24">
        <v>1.5993999999999999</v>
      </c>
      <c r="J185" s="24">
        <f t="shared" si="2"/>
        <v>26673.263999999999</v>
      </c>
      <c r="K185" s="28" t="s">
        <v>535</v>
      </c>
    </row>
    <row r="186" spans="1:11" hidden="1" outlineLevel="2" x14ac:dyDescent="0.25">
      <c r="A186" s="211" t="s">
        <v>612</v>
      </c>
      <c r="B186" s="208" t="s">
        <v>302</v>
      </c>
      <c r="C186" s="213">
        <v>144.12</v>
      </c>
      <c r="D186" s="208" t="s">
        <v>613</v>
      </c>
      <c r="E186" s="208" t="s">
        <v>552</v>
      </c>
      <c r="F186" s="207">
        <v>61.743189600000001</v>
      </c>
      <c r="G186" s="24">
        <v>12.966069815999999</v>
      </c>
      <c r="H186" s="24">
        <v>12.21865056317438</v>
      </c>
      <c r="I186" s="24">
        <v>1.3937217101902071</v>
      </c>
      <c r="J186" s="24">
        <f t="shared" si="2"/>
        <v>10067.815213565193</v>
      </c>
      <c r="K186" s="28" t="s">
        <v>535</v>
      </c>
    </row>
    <row r="187" spans="1:11" hidden="1" outlineLevel="2" x14ac:dyDescent="0.25">
      <c r="A187" s="211" t="s">
        <v>614</v>
      </c>
      <c r="B187" s="208" t="s">
        <v>302</v>
      </c>
      <c r="C187" s="213">
        <v>144.12</v>
      </c>
      <c r="D187" s="208" t="s">
        <v>613</v>
      </c>
      <c r="E187" s="208" t="s">
        <v>552</v>
      </c>
      <c r="F187" s="207">
        <v>61.743189600000001</v>
      </c>
      <c r="G187" s="24">
        <v>12.966069815999999</v>
      </c>
      <c r="H187" s="24">
        <v>12.21865056317438</v>
      </c>
      <c r="I187" s="24">
        <v>1.3937217101902071</v>
      </c>
      <c r="J187" s="24">
        <f t="shared" si="2"/>
        <v>10067.815213565193</v>
      </c>
      <c r="K187" s="28" t="s">
        <v>535</v>
      </c>
    </row>
    <row r="188" spans="1:11" hidden="1" outlineLevel="2" x14ac:dyDescent="0.25">
      <c r="A188" s="211" t="s">
        <v>615</v>
      </c>
      <c r="B188" s="208" t="s">
        <v>302</v>
      </c>
      <c r="C188" s="213">
        <v>120.88</v>
      </c>
      <c r="D188" s="208" t="s">
        <v>613</v>
      </c>
      <c r="E188" s="208" t="s">
        <v>552</v>
      </c>
      <c r="F188" s="207">
        <v>61.743189600000001</v>
      </c>
      <c r="G188" s="24">
        <v>12.966069815999999</v>
      </c>
      <c r="H188" s="24">
        <v>12.21865056317438</v>
      </c>
      <c r="I188" s="24">
        <v>1.3937217101902071</v>
      </c>
      <c r="J188" s="24">
        <f t="shared" si="2"/>
        <v>8444.3346032178779</v>
      </c>
      <c r="K188" s="28" t="s">
        <v>535</v>
      </c>
    </row>
    <row r="189" spans="1:11" hidden="1" outlineLevel="2" x14ac:dyDescent="0.25">
      <c r="A189" s="211" t="s">
        <v>616</v>
      </c>
      <c r="B189" s="208" t="s">
        <v>302</v>
      </c>
      <c r="C189" s="213">
        <v>142.08000000000001</v>
      </c>
      <c r="D189" s="208" t="s">
        <v>617</v>
      </c>
      <c r="E189" s="208" t="s">
        <v>552</v>
      </c>
      <c r="F189" s="207">
        <v>61.743189600000001</v>
      </c>
      <c r="G189" s="24">
        <v>12.966069815999999</v>
      </c>
      <c r="H189" s="24">
        <v>12.21865056317438</v>
      </c>
      <c r="I189" s="24">
        <v>1.3937217101902071</v>
      </c>
      <c r="J189" s="24">
        <f t="shared" si="2"/>
        <v>9925.3065885605247</v>
      </c>
      <c r="K189" s="28" t="s">
        <v>535</v>
      </c>
    </row>
    <row r="190" spans="1:11" hidden="1" outlineLevel="2" x14ac:dyDescent="0.25">
      <c r="A190" s="211" t="s">
        <v>618</v>
      </c>
      <c r="B190" s="208" t="s">
        <v>302</v>
      </c>
      <c r="C190" s="213">
        <v>142.08000000000001</v>
      </c>
      <c r="D190" s="208" t="s">
        <v>617</v>
      </c>
      <c r="E190" s="208" t="s">
        <v>552</v>
      </c>
      <c r="F190" s="207">
        <v>61.743189600000001</v>
      </c>
      <c r="G190" s="24">
        <v>12.966069815999999</v>
      </c>
      <c r="H190" s="24">
        <v>12.21865056317438</v>
      </c>
      <c r="I190" s="24">
        <v>1.3937217101902071</v>
      </c>
      <c r="J190" s="24">
        <f t="shared" si="2"/>
        <v>9925.3065885605247</v>
      </c>
      <c r="K190" s="28" t="s">
        <v>535</v>
      </c>
    </row>
    <row r="191" spans="1:11" hidden="1" outlineLevel="2" x14ac:dyDescent="0.25">
      <c r="A191" s="211" t="s">
        <v>619</v>
      </c>
      <c r="B191" s="208" t="s">
        <v>302</v>
      </c>
      <c r="C191" s="213">
        <v>128.22</v>
      </c>
      <c r="D191" s="208" t="s">
        <v>617</v>
      </c>
      <c r="E191" s="208" t="s">
        <v>552</v>
      </c>
      <c r="F191" s="207">
        <v>61.743189600000001</v>
      </c>
      <c r="G191" s="24">
        <v>12.966069815999999</v>
      </c>
      <c r="H191" s="24">
        <v>12.21865056317438</v>
      </c>
      <c r="I191" s="24">
        <v>1.3937217101902071</v>
      </c>
      <c r="J191" s="24">
        <f t="shared" si="2"/>
        <v>8957.0862245582084</v>
      </c>
      <c r="K191" s="28" t="s">
        <v>535</v>
      </c>
    </row>
    <row r="192" spans="1:11" hidden="1" outlineLevel="2" x14ac:dyDescent="0.25">
      <c r="A192" s="211" t="s">
        <v>620</v>
      </c>
      <c r="B192" s="208" t="s">
        <v>302</v>
      </c>
      <c r="C192" s="213">
        <v>142.08000000000001</v>
      </c>
      <c r="D192" s="208" t="s">
        <v>617</v>
      </c>
      <c r="E192" s="208" t="s">
        <v>552</v>
      </c>
      <c r="F192" s="207">
        <v>61.743189600000001</v>
      </c>
      <c r="G192" s="24">
        <v>12.966069815999999</v>
      </c>
      <c r="H192" s="24">
        <v>12.21865056317438</v>
      </c>
      <c r="I192" s="24">
        <v>1.3937217101902071</v>
      </c>
      <c r="J192" s="24">
        <f t="shared" si="2"/>
        <v>9925.3065885605247</v>
      </c>
      <c r="K192" s="28" t="s">
        <v>535</v>
      </c>
    </row>
    <row r="193" spans="1:11" hidden="1" outlineLevel="2" x14ac:dyDescent="0.25">
      <c r="A193" s="211" t="s">
        <v>621</v>
      </c>
      <c r="B193" s="208" t="s">
        <v>302</v>
      </c>
      <c r="C193" s="213">
        <v>142.08000000000001</v>
      </c>
      <c r="D193" s="208" t="s">
        <v>617</v>
      </c>
      <c r="E193" s="208" t="s">
        <v>552</v>
      </c>
      <c r="F193" s="207">
        <v>61.743189600000001</v>
      </c>
      <c r="G193" s="24">
        <v>12.966069815999999</v>
      </c>
      <c r="H193" s="24">
        <v>12.21865056317438</v>
      </c>
      <c r="I193" s="24">
        <v>1.3937217101902071</v>
      </c>
      <c r="J193" s="24">
        <f t="shared" si="2"/>
        <v>9925.3065885605247</v>
      </c>
      <c r="K193" s="28" t="s">
        <v>535</v>
      </c>
    </row>
    <row r="194" spans="1:11" hidden="1" outlineLevel="2" x14ac:dyDescent="0.25">
      <c r="A194" s="211" t="s">
        <v>622</v>
      </c>
      <c r="B194" s="208" t="s">
        <v>302</v>
      </c>
      <c r="C194" s="213">
        <v>142.08000000000001</v>
      </c>
      <c r="D194" s="208" t="s">
        <v>617</v>
      </c>
      <c r="E194" s="208" t="s">
        <v>552</v>
      </c>
      <c r="F194" s="207">
        <v>61.743189600000001</v>
      </c>
      <c r="G194" s="24">
        <v>12.966069815999999</v>
      </c>
      <c r="H194" s="24">
        <v>12.21865056317438</v>
      </c>
      <c r="I194" s="24">
        <v>1.3937217101902071</v>
      </c>
      <c r="J194" s="24">
        <f t="shared" si="2"/>
        <v>9925.3065885605247</v>
      </c>
      <c r="K194" s="28" t="s">
        <v>535</v>
      </c>
    </row>
    <row r="195" spans="1:11" hidden="1" outlineLevel="2" x14ac:dyDescent="0.25">
      <c r="A195" s="211" t="s">
        <v>623</v>
      </c>
      <c r="B195" s="208" t="s">
        <v>302</v>
      </c>
      <c r="C195" s="213">
        <v>141</v>
      </c>
      <c r="D195" s="208" t="s">
        <v>624</v>
      </c>
      <c r="E195" s="208" t="s">
        <v>563</v>
      </c>
      <c r="F195" s="207">
        <v>62.270101099999998</v>
      </c>
      <c r="G195" s="24">
        <v>13.076721230999999</v>
      </c>
      <c r="H195" s="24">
        <v>12.21865056317438</v>
      </c>
      <c r="I195" s="24">
        <v>1.3937217101902071</v>
      </c>
      <c r="J195" s="24">
        <f t="shared" si="2"/>
        <v>9924.1553674109928</v>
      </c>
      <c r="K195" s="28" t="s">
        <v>535</v>
      </c>
    </row>
    <row r="196" spans="1:11" hidden="1" outlineLevel="2" x14ac:dyDescent="0.25">
      <c r="A196" s="211" t="s">
        <v>625</v>
      </c>
      <c r="B196" s="208" t="s">
        <v>302</v>
      </c>
      <c r="C196" s="213">
        <v>141</v>
      </c>
      <c r="D196" s="208" t="s">
        <v>624</v>
      </c>
      <c r="E196" s="208" t="s">
        <v>563</v>
      </c>
      <c r="F196" s="207">
        <v>62.270101099999998</v>
      </c>
      <c r="G196" s="24">
        <v>13.076721230999999</v>
      </c>
      <c r="H196" s="24">
        <v>12.21865056317438</v>
      </c>
      <c r="I196" s="24">
        <v>1.3937217101902071</v>
      </c>
      <c r="J196" s="24">
        <f t="shared" si="2"/>
        <v>9924.1553674109928</v>
      </c>
      <c r="K196" s="28" t="s">
        <v>535</v>
      </c>
    </row>
    <row r="197" spans="1:11" hidden="1" outlineLevel="2" x14ac:dyDescent="0.25">
      <c r="A197" s="211" t="s">
        <v>626</v>
      </c>
      <c r="B197" s="208" t="s">
        <v>302</v>
      </c>
      <c r="C197" s="213">
        <v>77.28</v>
      </c>
      <c r="D197" s="208" t="s">
        <v>624</v>
      </c>
      <c r="E197" s="208" t="s">
        <v>563</v>
      </c>
      <c r="F197" s="207">
        <v>62.270101099999998</v>
      </c>
      <c r="G197" s="24">
        <v>13.076721230999999</v>
      </c>
      <c r="H197" s="24">
        <v>12.21865056317438</v>
      </c>
      <c r="I197" s="24">
        <v>1.3937217101902071</v>
      </c>
      <c r="J197" s="24">
        <f t="shared" si="2"/>
        <v>5439.2817503086626</v>
      </c>
      <c r="K197" s="28" t="s">
        <v>535</v>
      </c>
    </row>
    <row r="198" spans="1:11" hidden="1" outlineLevel="2" x14ac:dyDescent="0.25">
      <c r="A198" s="206">
        <v>44492</v>
      </c>
      <c r="B198" s="28" t="s">
        <v>302</v>
      </c>
      <c r="C198" s="39">
        <v>347</v>
      </c>
      <c r="D198" s="28" t="s">
        <v>635</v>
      </c>
      <c r="E198" s="28">
        <v>6716</v>
      </c>
      <c r="F198" s="24">
        <v>60.876800000000003</v>
      </c>
      <c r="G198" s="24">
        <v>12.784128000000001</v>
      </c>
      <c r="H198" s="24">
        <v>12.826000000000001</v>
      </c>
      <c r="I198" s="24">
        <v>1.4631000000000001</v>
      </c>
      <c r="J198" s="24">
        <f t="shared" si="2"/>
        <v>24079.787400000001</v>
      </c>
      <c r="K198" s="28" t="s">
        <v>535</v>
      </c>
    </row>
    <row r="199" spans="1:11" hidden="1" outlineLevel="2" x14ac:dyDescent="0.25">
      <c r="A199" s="206">
        <v>44495</v>
      </c>
      <c r="B199" s="28" t="s">
        <v>302</v>
      </c>
      <c r="C199" s="39">
        <v>284</v>
      </c>
      <c r="D199" s="28" t="s">
        <v>636</v>
      </c>
      <c r="E199" s="28">
        <v>6728</v>
      </c>
      <c r="F199" s="24">
        <v>60.876800000000003</v>
      </c>
      <c r="G199" s="24">
        <v>12.784128000000001</v>
      </c>
      <c r="H199" s="24">
        <v>12.826000000000001</v>
      </c>
      <c r="I199" s="24">
        <v>1.4631000000000001</v>
      </c>
      <c r="J199" s="24">
        <f t="shared" si="2"/>
        <v>19707.952799999999</v>
      </c>
      <c r="K199" s="28" t="s">
        <v>535</v>
      </c>
    </row>
    <row r="200" spans="1:11" s="214" customFormat="1" outlineLevel="1" collapsed="1" x14ac:dyDescent="0.25">
      <c r="A200" s="220"/>
      <c r="B200" s="221" t="s">
        <v>656</v>
      </c>
      <c r="C200" s="222">
        <f>SUBTOTAL(9,C182:C199)</f>
        <v>3820.0199999999995</v>
      </c>
      <c r="D200" s="718"/>
      <c r="E200" s="719"/>
      <c r="F200" s="719"/>
      <c r="G200" s="719"/>
      <c r="H200" s="719"/>
      <c r="I200" s="720"/>
      <c r="J200" s="223">
        <f>SUBTOTAL(9,J182:J199)</f>
        <v>261731.67600283973</v>
      </c>
      <c r="K200" s="221"/>
    </row>
    <row r="201" spans="1:11" outlineLevel="2" x14ac:dyDescent="0.25">
      <c r="A201" s="206">
        <v>44470</v>
      </c>
      <c r="B201" s="28" t="s">
        <v>316</v>
      </c>
      <c r="C201" s="39">
        <v>520</v>
      </c>
      <c r="D201" s="28" t="s">
        <v>534</v>
      </c>
      <c r="E201" s="28">
        <v>6561</v>
      </c>
      <c r="F201" s="24">
        <v>58.497399999999999</v>
      </c>
      <c r="G201" s="24">
        <v>12.284454</v>
      </c>
      <c r="H201" s="24">
        <v>11.975199999999999</v>
      </c>
      <c r="I201" s="24">
        <v>1.5993999999999999</v>
      </c>
      <c r="J201" s="24">
        <f t="shared" si="2"/>
        <v>34675.243199999997</v>
      </c>
      <c r="K201" s="28" t="s">
        <v>535</v>
      </c>
    </row>
    <row r="202" spans="1:11" outlineLevel="2" x14ac:dyDescent="0.25">
      <c r="A202" s="206">
        <v>44475</v>
      </c>
      <c r="B202" s="28" t="s">
        <v>316</v>
      </c>
      <c r="C202" s="39">
        <v>515</v>
      </c>
      <c r="D202" s="28" t="s">
        <v>536</v>
      </c>
      <c r="E202" s="28">
        <v>6562</v>
      </c>
      <c r="F202" s="24">
        <v>58.497399999999999</v>
      </c>
      <c r="G202" s="24">
        <v>12.284454</v>
      </c>
      <c r="H202" s="24">
        <v>11.975199999999999</v>
      </c>
      <c r="I202" s="24">
        <v>1.5993999999999999</v>
      </c>
      <c r="J202" s="24">
        <f t="shared" si="2"/>
        <v>34341.827400000002</v>
      </c>
      <c r="K202" s="28" t="s">
        <v>535</v>
      </c>
    </row>
    <row r="203" spans="1:11" outlineLevel="2" x14ac:dyDescent="0.25">
      <c r="A203" s="206">
        <v>44480</v>
      </c>
      <c r="B203" s="28" t="s">
        <v>316</v>
      </c>
      <c r="C203" s="39">
        <v>550</v>
      </c>
      <c r="D203" s="28" t="s">
        <v>538</v>
      </c>
      <c r="E203" s="28">
        <v>6575</v>
      </c>
      <c r="F203" s="24">
        <v>58.497399999999999</v>
      </c>
      <c r="G203" s="24">
        <v>12.284454</v>
      </c>
      <c r="H203" s="24">
        <v>11.975199999999999</v>
      </c>
      <c r="I203" s="24">
        <v>1.5993999999999999</v>
      </c>
      <c r="J203" s="24">
        <f t="shared" si="2"/>
        <v>36675.737999999998</v>
      </c>
      <c r="K203" s="28" t="s">
        <v>535</v>
      </c>
    </row>
    <row r="204" spans="1:11" outlineLevel="2" x14ac:dyDescent="0.25">
      <c r="A204" s="206">
        <v>44494</v>
      </c>
      <c r="B204" s="28" t="s">
        <v>316</v>
      </c>
      <c r="C204" s="39">
        <v>240</v>
      </c>
      <c r="D204" s="28" t="s">
        <v>542</v>
      </c>
      <c r="E204" s="28">
        <v>6634</v>
      </c>
      <c r="F204" s="24">
        <v>58.537700000000001</v>
      </c>
      <c r="G204" s="24">
        <v>12.292916999999999</v>
      </c>
      <c r="H204" s="24">
        <v>11.975199999999999</v>
      </c>
      <c r="I204" s="24">
        <v>1.5993999999999999</v>
      </c>
      <c r="J204" s="24">
        <f t="shared" si="2"/>
        <v>16013.6304</v>
      </c>
      <c r="K204" s="28" t="s">
        <v>540</v>
      </c>
    </row>
    <row r="205" spans="1:11" outlineLevel="2" x14ac:dyDescent="0.25">
      <c r="A205" s="211" t="s">
        <v>627</v>
      </c>
      <c r="B205" s="208" t="s">
        <v>316</v>
      </c>
      <c r="C205" s="213">
        <v>345.87</v>
      </c>
      <c r="D205" s="208" t="s">
        <v>584</v>
      </c>
      <c r="E205" s="208" t="s">
        <v>552</v>
      </c>
      <c r="F205" s="207">
        <v>61.743189600000001</v>
      </c>
      <c r="G205" s="24">
        <v>12.966069815999999</v>
      </c>
      <c r="H205" s="24">
        <v>12.21865056317438</v>
      </c>
      <c r="I205" s="24">
        <v>1.3937217101902071</v>
      </c>
      <c r="J205" s="24">
        <f t="shared" si="2"/>
        <v>24161.499083512306</v>
      </c>
      <c r="K205" s="28" t="s">
        <v>535</v>
      </c>
    </row>
    <row r="206" spans="1:11" outlineLevel="2" x14ac:dyDescent="0.25">
      <c r="A206" s="206">
        <v>44483</v>
      </c>
      <c r="B206" s="28" t="s">
        <v>316</v>
      </c>
      <c r="C206" s="39">
        <v>385</v>
      </c>
      <c r="D206" s="28" t="s">
        <v>633</v>
      </c>
      <c r="E206" s="28">
        <v>6713</v>
      </c>
      <c r="F206" s="24">
        <v>60.876800000000003</v>
      </c>
      <c r="G206" s="24">
        <v>12.784128000000001</v>
      </c>
      <c r="H206" s="24">
        <v>12.826000000000001</v>
      </c>
      <c r="I206" s="24">
        <v>1.4631000000000001</v>
      </c>
      <c r="J206" s="24">
        <f>C206*(F206+H206*0.55+I206)</f>
        <v>26716.767</v>
      </c>
      <c r="K206" s="28" t="s">
        <v>535</v>
      </c>
    </row>
    <row r="207" spans="1:11" outlineLevel="2" x14ac:dyDescent="0.25">
      <c r="A207" s="206">
        <v>44487</v>
      </c>
      <c r="B207" s="28" t="s">
        <v>316</v>
      </c>
      <c r="C207" s="39">
        <v>510</v>
      </c>
      <c r="D207" s="28" t="s">
        <v>634</v>
      </c>
      <c r="E207" s="28">
        <v>6715</v>
      </c>
      <c r="F207" s="24">
        <v>60.876800000000003</v>
      </c>
      <c r="G207" s="24">
        <v>12.784128000000001</v>
      </c>
      <c r="H207" s="24">
        <v>12.826000000000001</v>
      </c>
      <c r="I207" s="24">
        <v>1.4631000000000001</v>
      </c>
      <c r="J207" s="24">
        <f t="shared" si="2"/>
        <v>35391.042000000001</v>
      </c>
      <c r="K207" s="28" t="s">
        <v>535</v>
      </c>
    </row>
    <row r="208" spans="1:11" outlineLevel="2" x14ac:dyDescent="0.25">
      <c r="A208" s="206">
        <v>44490</v>
      </c>
      <c r="B208" s="28" t="s">
        <v>316</v>
      </c>
      <c r="C208" s="39">
        <v>500</v>
      </c>
      <c r="D208" s="28" t="s">
        <v>635</v>
      </c>
      <c r="E208" s="28">
        <v>6716</v>
      </c>
      <c r="F208" s="24">
        <v>60.876800000000003</v>
      </c>
      <c r="G208" s="24">
        <v>12.784128000000001</v>
      </c>
      <c r="H208" s="24">
        <v>12.826000000000001</v>
      </c>
      <c r="I208" s="24">
        <v>1.4631000000000001</v>
      </c>
      <c r="J208" s="24">
        <f t="shared" si="2"/>
        <v>34697.1</v>
      </c>
      <c r="K208" s="28" t="s">
        <v>535</v>
      </c>
    </row>
    <row r="209" spans="1:11" outlineLevel="2" x14ac:dyDescent="0.25">
      <c r="A209" s="206">
        <v>44493</v>
      </c>
      <c r="B209" s="28" t="s">
        <v>316</v>
      </c>
      <c r="C209" s="39">
        <v>362</v>
      </c>
      <c r="D209" s="28" t="s">
        <v>635</v>
      </c>
      <c r="E209" s="28">
        <v>6716</v>
      </c>
      <c r="F209" s="24">
        <v>60.876800000000003</v>
      </c>
      <c r="G209" s="24">
        <v>12.784128000000001</v>
      </c>
      <c r="H209" s="24">
        <v>12.826000000000001</v>
      </c>
      <c r="I209" s="24">
        <v>1.4631000000000001</v>
      </c>
      <c r="J209" s="24">
        <f t="shared" si="2"/>
        <v>25120.700399999998</v>
      </c>
      <c r="K209" s="28" t="s">
        <v>535</v>
      </c>
    </row>
    <row r="210" spans="1:11" s="214" customFormat="1" outlineLevel="1" x14ac:dyDescent="0.25">
      <c r="A210" s="220"/>
      <c r="B210" s="221" t="s">
        <v>657</v>
      </c>
      <c r="C210" s="222">
        <f>SUBTOTAL(9,C201:C209)</f>
        <v>3927.87</v>
      </c>
      <c r="D210" s="718"/>
      <c r="E210" s="719"/>
      <c r="F210" s="719"/>
      <c r="G210" s="719"/>
      <c r="H210" s="719"/>
      <c r="I210" s="720"/>
      <c r="J210" s="223">
        <f>SUBTOTAL(9,J201:J209)</f>
        <v>267793.54748351232</v>
      </c>
      <c r="K210" s="221"/>
    </row>
    <row r="211" spans="1:11" hidden="1" outlineLevel="2" x14ac:dyDescent="0.25">
      <c r="A211" s="206">
        <v>44475</v>
      </c>
      <c r="B211" s="28" t="s">
        <v>319</v>
      </c>
      <c r="C211" s="39">
        <v>554</v>
      </c>
      <c r="D211" s="28" t="s">
        <v>536</v>
      </c>
      <c r="E211" s="28">
        <v>6562</v>
      </c>
      <c r="F211" s="24">
        <v>58.497399999999999</v>
      </c>
      <c r="G211" s="24">
        <v>12.284454</v>
      </c>
      <c r="H211" s="24">
        <v>11.975199999999999</v>
      </c>
      <c r="I211" s="24">
        <v>1.5993999999999999</v>
      </c>
      <c r="J211" s="24">
        <f t="shared" si="2"/>
        <v>36942.47064</v>
      </c>
      <c r="K211" s="28" t="s">
        <v>535</v>
      </c>
    </row>
    <row r="212" spans="1:11" hidden="1" outlineLevel="2" x14ac:dyDescent="0.25">
      <c r="A212" s="206">
        <v>44481</v>
      </c>
      <c r="B212" s="28" t="s">
        <v>319</v>
      </c>
      <c r="C212" s="39">
        <v>291</v>
      </c>
      <c r="D212" s="28" t="s">
        <v>538</v>
      </c>
      <c r="E212" s="28">
        <v>6575</v>
      </c>
      <c r="F212" s="24">
        <v>58.497399999999999</v>
      </c>
      <c r="G212" s="24">
        <v>12.284454</v>
      </c>
      <c r="H212" s="24">
        <v>11.975199999999999</v>
      </c>
      <c r="I212" s="24">
        <v>1.5993999999999999</v>
      </c>
      <c r="J212" s="24">
        <f t="shared" si="2"/>
        <v>19404.799559999999</v>
      </c>
      <c r="K212" s="28" t="s">
        <v>535</v>
      </c>
    </row>
    <row r="213" spans="1:11" hidden="1" outlineLevel="2" x14ac:dyDescent="0.25">
      <c r="A213" s="211" t="s">
        <v>628</v>
      </c>
      <c r="B213" s="208" t="s">
        <v>319</v>
      </c>
      <c r="C213" s="213">
        <v>770.86</v>
      </c>
      <c r="D213" s="208" t="s">
        <v>584</v>
      </c>
      <c r="E213" s="208" t="s">
        <v>552</v>
      </c>
      <c r="F213" s="207">
        <v>61.743189600000001</v>
      </c>
      <c r="G213" s="24">
        <v>12.966069815999999</v>
      </c>
      <c r="H213" s="24">
        <v>12.21865056317438</v>
      </c>
      <c r="I213" s="24">
        <v>1.3937217101902071</v>
      </c>
      <c r="J213" s="24">
        <f t="shared" si="2"/>
        <v>53850.097387793954</v>
      </c>
      <c r="K213" s="28" t="s">
        <v>535</v>
      </c>
    </row>
    <row r="214" spans="1:11" hidden="1" outlineLevel="2" x14ac:dyDescent="0.25">
      <c r="A214" s="211" t="s">
        <v>629</v>
      </c>
      <c r="B214" s="208" t="s">
        <v>319</v>
      </c>
      <c r="C214" s="213">
        <v>631.39</v>
      </c>
      <c r="D214" s="208" t="s">
        <v>630</v>
      </c>
      <c r="E214" s="208" t="s">
        <v>552</v>
      </c>
      <c r="F214" s="207">
        <v>61.743189600000001</v>
      </c>
      <c r="G214" s="24">
        <v>12.966069815999999</v>
      </c>
      <c r="H214" s="24">
        <v>12.21865056317438</v>
      </c>
      <c r="I214" s="24">
        <v>1.3937217101902071</v>
      </c>
      <c r="J214" s="24">
        <f t="shared" si="2"/>
        <v>44107.118010636463</v>
      </c>
      <c r="K214" s="28" t="s">
        <v>535</v>
      </c>
    </row>
    <row r="215" spans="1:11" hidden="1" outlineLevel="2" x14ac:dyDescent="0.25">
      <c r="A215" s="211" t="s">
        <v>631</v>
      </c>
      <c r="B215" s="208" t="s">
        <v>319</v>
      </c>
      <c r="C215" s="213">
        <v>499.81</v>
      </c>
      <c r="D215" s="208" t="s">
        <v>573</v>
      </c>
      <c r="E215" s="208" t="s">
        <v>552</v>
      </c>
      <c r="F215" s="207">
        <v>61.743189600000001</v>
      </c>
      <c r="G215" s="24">
        <v>12.966069815999999</v>
      </c>
      <c r="H215" s="24">
        <v>12.21865056317438</v>
      </c>
      <c r="I215" s="24">
        <v>1.3937217101902071</v>
      </c>
      <c r="J215" s="24">
        <f>C215*(F215+H215*0.55+I215)</f>
        <v>34915.31169783527</v>
      </c>
      <c r="K215" s="28" t="s">
        <v>535</v>
      </c>
    </row>
    <row r="216" spans="1:11" hidden="1" outlineLevel="2" x14ac:dyDescent="0.25">
      <c r="A216" s="211" t="s">
        <v>632</v>
      </c>
      <c r="B216" s="208" t="s">
        <v>319</v>
      </c>
      <c r="C216" s="213">
        <v>565.82000000000005</v>
      </c>
      <c r="D216" s="208" t="s">
        <v>560</v>
      </c>
      <c r="E216" s="208" t="s">
        <v>552</v>
      </c>
      <c r="F216" s="207">
        <v>61.743189600000001</v>
      </c>
      <c r="G216" s="24">
        <v>12.966069815999999</v>
      </c>
      <c r="H216" s="24">
        <v>12.21865056317438</v>
      </c>
      <c r="I216" s="24">
        <v>1.3937217101902071</v>
      </c>
      <c r="J216" s="24">
        <f>C216*(F216+H216*0.55+I216)</f>
        <v>39526.583431442254</v>
      </c>
      <c r="K216" s="28" t="s">
        <v>535</v>
      </c>
    </row>
    <row r="217" spans="1:11" hidden="1" outlineLevel="2" x14ac:dyDescent="0.25">
      <c r="A217" s="206">
        <v>44489</v>
      </c>
      <c r="B217" s="28" t="s">
        <v>319</v>
      </c>
      <c r="C217" s="39">
        <v>379</v>
      </c>
      <c r="D217" s="28" t="s">
        <v>634</v>
      </c>
      <c r="E217" s="28">
        <v>6715</v>
      </c>
      <c r="F217" s="24">
        <v>60.876800000000003</v>
      </c>
      <c r="G217" s="24">
        <v>12.784128000000001</v>
      </c>
      <c r="H217" s="24">
        <v>12.826000000000001</v>
      </c>
      <c r="I217" s="24">
        <v>1.4631000000000001</v>
      </c>
      <c r="J217" s="24">
        <f>C217*(F217+H217*0.55+I217)</f>
        <v>26300.4018</v>
      </c>
      <c r="K217" s="28" t="s">
        <v>535</v>
      </c>
    </row>
    <row r="218" spans="1:11" hidden="1" outlineLevel="2" x14ac:dyDescent="0.25">
      <c r="A218" s="206">
        <v>44499</v>
      </c>
      <c r="B218" s="28" t="s">
        <v>319</v>
      </c>
      <c r="C218" s="39">
        <v>300</v>
      </c>
      <c r="D218" s="28" t="s">
        <v>637</v>
      </c>
      <c r="E218" s="28">
        <v>6729</v>
      </c>
      <c r="F218" s="24">
        <v>60.876800000000003</v>
      </c>
      <c r="G218" s="24">
        <v>12.784128000000001</v>
      </c>
      <c r="H218" s="24">
        <v>12.826000000000001</v>
      </c>
      <c r="I218" s="24">
        <v>1.4631000000000001</v>
      </c>
      <c r="J218" s="24">
        <f>C218*(F218+H218*0.55+I218)</f>
        <v>20818.259999999998</v>
      </c>
      <c r="K218" s="28" t="s">
        <v>535</v>
      </c>
    </row>
    <row r="219" spans="1:11" s="214" customFormat="1" outlineLevel="1" collapsed="1" x14ac:dyDescent="0.25">
      <c r="A219" s="220"/>
      <c r="B219" s="221" t="s">
        <v>658</v>
      </c>
      <c r="C219" s="222">
        <f>SUBTOTAL(9,C211:C218)</f>
        <v>3991.88</v>
      </c>
      <c r="D219" s="718"/>
      <c r="E219" s="719"/>
      <c r="F219" s="719"/>
      <c r="G219" s="719"/>
      <c r="H219" s="719"/>
      <c r="I219" s="720"/>
      <c r="J219" s="223">
        <f>SUBTOTAL(9,J211:J218)</f>
        <v>275865.04252770793</v>
      </c>
      <c r="K219" s="221"/>
    </row>
    <row r="220" spans="1:11" s="214" customFormat="1" x14ac:dyDescent="0.25">
      <c r="A220" s="215"/>
      <c r="B220" s="219" t="s">
        <v>659</v>
      </c>
      <c r="C220" s="217">
        <f>SUBTOTAL(9,C4:C218)</f>
        <v>73538.078006542011</v>
      </c>
      <c r="D220" s="721"/>
      <c r="E220" s="722"/>
      <c r="F220" s="722"/>
      <c r="G220" s="722"/>
      <c r="H220" s="722"/>
      <c r="I220" s="723"/>
      <c r="J220" s="26">
        <f>SUBTOTAL(9,J4:J218)</f>
        <v>5033635.4573051324</v>
      </c>
      <c r="K220" s="219"/>
    </row>
  </sheetData>
  <autoFilter ref="A3:K218" xr:uid="{00000000-0009-0000-0000-000038000000}">
    <sortState xmlns:xlrd2="http://schemas.microsoft.com/office/spreadsheetml/2017/richdata2" ref="A4:K199">
      <sortCondition ref="B3:B199"/>
    </sortState>
  </autoFilter>
  <mergeCells count="22">
    <mergeCell ref="D129:I129"/>
    <mergeCell ref="A1:K1"/>
    <mergeCell ref="D12:I12"/>
    <mergeCell ref="D19:I19"/>
    <mergeCell ref="D34:I34"/>
    <mergeCell ref="D45:I45"/>
    <mergeCell ref="D55:I55"/>
    <mergeCell ref="D75:I75"/>
    <mergeCell ref="D88:I88"/>
    <mergeCell ref="D101:I101"/>
    <mergeCell ref="D109:I109"/>
    <mergeCell ref="D118:I118"/>
    <mergeCell ref="D139:I139"/>
    <mergeCell ref="D220:I220"/>
    <mergeCell ref="D219:I219"/>
    <mergeCell ref="D210:I210"/>
    <mergeCell ref="D200:I200"/>
    <mergeCell ref="D181:I181"/>
    <mergeCell ref="D168:I168"/>
    <mergeCell ref="D161:I161"/>
    <mergeCell ref="D154:I154"/>
    <mergeCell ref="D146:I14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002060"/>
  </sheetPr>
  <dimension ref="A1:AB44"/>
  <sheetViews>
    <sheetView topLeftCell="J13" zoomScaleNormal="100" workbookViewId="0">
      <selection activeCell="B4" sqref="B4"/>
    </sheetView>
  </sheetViews>
  <sheetFormatPr baseColWidth="10" defaultColWidth="13" defaultRowHeight="15" x14ac:dyDescent="0.25"/>
  <cols>
    <col min="1" max="1" width="35.7109375" style="2" bestFit="1" customWidth="1"/>
    <col min="2" max="2" width="32.42578125" style="2" bestFit="1" customWidth="1"/>
    <col min="3" max="3" width="13" style="25" customWidth="1"/>
    <col min="4" max="4" width="12" style="25" customWidth="1"/>
    <col min="5" max="7" width="12.42578125" style="25" customWidth="1"/>
    <col min="8" max="8" width="9.85546875" style="25" customWidth="1"/>
    <col min="9" max="9" width="12" style="25" customWidth="1"/>
    <col min="10" max="10" width="13" style="2" customWidth="1"/>
    <col min="11" max="15" width="12" style="2" customWidth="1"/>
    <col min="16" max="16" width="11.42578125" style="2" customWidth="1"/>
    <col min="17" max="17" width="13" style="2" customWidth="1"/>
    <col min="18" max="18" width="5.5703125" style="2" customWidth="1"/>
    <col min="19" max="19" width="14.140625" style="2" customWidth="1"/>
    <col min="20" max="20" width="10.85546875" style="2" customWidth="1"/>
    <col min="21" max="21" width="9.140625" style="2" bestFit="1" customWidth="1"/>
    <col min="22" max="22" width="3.140625" style="2" customWidth="1"/>
    <col min="23" max="23" width="4.7109375" style="2" customWidth="1"/>
    <col min="24" max="24" width="4" style="2" customWidth="1"/>
    <col min="25" max="25" width="3" style="2" customWidth="1"/>
    <col min="26" max="26" width="8.42578125" style="2" bestFit="1" customWidth="1"/>
    <col min="27" max="16384" width="13" style="2"/>
  </cols>
  <sheetData>
    <row r="1" spans="1:26" x14ac:dyDescent="0.25">
      <c r="A1" s="731" t="s">
        <v>695</v>
      </c>
      <c r="B1" s="731"/>
      <c r="C1" s="731"/>
      <c r="D1" s="731"/>
      <c r="E1" s="731"/>
      <c r="F1" s="731"/>
      <c r="G1" s="731"/>
      <c r="H1" s="731"/>
      <c r="I1" s="731"/>
      <c r="J1" s="731"/>
      <c r="K1" s="731"/>
      <c r="L1" s="731"/>
      <c r="M1" s="731"/>
      <c r="N1" s="731"/>
      <c r="O1" s="731"/>
      <c r="P1" s="731"/>
      <c r="Q1" s="731"/>
      <c r="R1" s="731"/>
      <c r="S1" s="731"/>
      <c r="T1" s="731"/>
      <c r="U1" s="731"/>
      <c r="V1" s="731"/>
      <c r="W1" s="731"/>
      <c r="X1" s="731"/>
      <c r="Y1" s="731"/>
      <c r="Z1" s="731"/>
    </row>
    <row r="2" spans="1:26" s="238" customFormat="1" ht="30" x14ac:dyDescent="0.25">
      <c r="A2" s="232" t="s">
        <v>661</v>
      </c>
      <c r="B2" s="232" t="s">
        <v>662</v>
      </c>
      <c r="C2" s="233" t="s">
        <v>663</v>
      </c>
      <c r="D2" s="233" t="s">
        <v>664</v>
      </c>
      <c r="E2" s="232" t="s">
        <v>678</v>
      </c>
      <c r="F2" s="232" t="s">
        <v>679</v>
      </c>
      <c r="G2" s="232" t="s">
        <v>680</v>
      </c>
      <c r="H2" s="232" t="s">
        <v>681</v>
      </c>
      <c r="I2" s="232" t="s">
        <v>682</v>
      </c>
      <c r="J2" s="232" t="s">
        <v>683</v>
      </c>
      <c r="K2" s="232" t="s">
        <v>684</v>
      </c>
      <c r="L2" s="234" t="s">
        <v>685</v>
      </c>
      <c r="M2" s="235" t="s">
        <v>686</v>
      </c>
      <c r="N2" s="235" t="s">
        <v>687</v>
      </c>
      <c r="O2" s="235" t="s">
        <v>687</v>
      </c>
      <c r="P2" s="235" t="s">
        <v>688</v>
      </c>
      <c r="Q2" s="235" t="s">
        <v>689</v>
      </c>
      <c r="R2" s="236"/>
      <c r="S2" s="232" t="s">
        <v>509</v>
      </c>
      <c r="T2" s="236" t="s">
        <v>690</v>
      </c>
      <c r="U2" s="232" t="s">
        <v>691</v>
      </c>
      <c r="V2" s="236" t="s">
        <v>692</v>
      </c>
      <c r="W2" s="236" t="s">
        <v>685</v>
      </c>
      <c r="X2" s="236" t="s">
        <v>693</v>
      </c>
      <c r="Y2" s="236"/>
      <c r="Z2" s="237" t="s">
        <v>694</v>
      </c>
    </row>
    <row r="3" spans="1:26" x14ac:dyDescent="0.25">
      <c r="A3" s="9" t="s">
        <v>665</v>
      </c>
      <c r="B3" s="9" t="s">
        <v>284</v>
      </c>
      <c r="C3" s="24">
        <v>183148.77</v>
      </c>
      <c r="D3" s="24">
        <v>56553.89</v>
      </c>
      <c r="E3" s="24">
        <f t="shared" ref="E3:E22" si="0">C3*0.23</f>
        <v>42124.217100000002</v>
      </c>
      <c r="F3" s="24">
        <f t="shared" ref="F3:F22" si="1">(U3/V3*30)*0.04</f>
        <v>2042.8232</v>
      </c>
      <c r="G3" s="24">
        <f t="shared" ref="G3:G22" si="2">(C3+D3)*0.015+0.6</f>
        <v>3596.1398999999992</v>
      </c>
      <c r="H3" s="24">
        <v>19.03</v>
      </c>
      <c r="I3" s="24"/>
      <c r="J3" s="24">
        <f t="shared" ref="J3:J22" si="3">C3+D3+E3+F3+G3+H3-I3</f>
        <v>287484.8702</v>
      </c>
      <c r="K3" s="24">
        <f t="shared" ref="K3:K22" si="4">(C3+E3+F3+G3+H3-(0.0219*D3))/12</f>
        <v>19141.037500750001</v>
      </c>
      <c r="L3" s="227">
        <f t="shared" ref="L3:L22" si="5">(C3+E3+F3+G3+H3)*R3</f>
        <v>13286.439956712329</v>
      </c>
      <c r="M3" s="228">
        <v>21</v>
      </c>
      <c r="N3" s="230">
        <f t="shared" ref="N3:N22" si="6">(C3/V3*M3)/12</f>
        <v>10683.678249999999</v>
      </c>
      <c r="O3" s="230">
        <f t="shared" ref="O3:O22" si="7">+N3+0.23*N3+0.01753*N3</f>
        <v>13328.209127222499</v>
      </c>
      <c r="P3" s="230">
        <f t="shared" ref="P3:P22" si="8">O3-L3</f>
        <v>41.769170510169715</v>
      </c>
      <c r="Q3" s="227">
        <f t="shared" ref="Q3:Q22" si="9">N3*12</f>
        <v>128204.139</v>
      </c>
      <c r="R3" s="231">
        <f t="shared" ref="R3:R22" si="10">M3/365</f>
        <v>5.7534246575342465E-2</v>
      </c>
      <c r="S3" s="24">
        <f t="shared" ref="S3:S22" si="11">J3+K3+L3</f>
        <v>319912.34765746229</v>
      </c>
      <c r="T3" s="40">
        <v>10799</v>
      </c>
      <c r="U3" s="40">
        <v>51070.58</v>
      </c>
      <c r="V3" s="9">
        <v>30</v>
      </c>
      <c r="W3" s="9"/>
      <c r="X3" s="9"/>
      <c r="Y3" s="9">
        <f t="shared" ref="Y3:Y22" si="12">V3+W3+X3</f>
        <v>30</v>
      </c>
      <c r="Z3" s="757">
        <f t="shared" ref="Z3:Z15" si="13">S3/T3</f>
        <v>29.624256658714909</v>
      </c>
    </row>
    <row r="4" spans="1:26" x14ac:dyDescent="0.25">
      <c r="A4" s="9" t="s">
        <v>665</v>
      </c>
      <c r="B4" s="9" t="s">
        <v>666</v>
      </c>
      <c r="C4" s="24">
        <v>177794.59</v>
      </c>
      <c r="D4" s="24">
        <v>56165.49</v>
      </c>
      <c r="E4" s="24">
        <f t="shared" si="0"/>
        <v>40892.755700000002</v>
      </c>
      <c r="F4" s="24">
        <f t="shared" si="1"/>
        <v>2042.8232</v>
      </c>
      <c r="G4" s="24">
        <f t="shared" si="2"/>
        <v>3510.0011999999997</v>
      </c>
      <c r="H4" s="24">
        <v>19.03</v>
      </c>
      <c r="I4" s="24"/>
      <c r="J4" s="24">
        <f t="shared" si="3"/>
        <v>280424.69010000001</v>
      </c>
      <c r="K4" s="24">
        <f t="shared" si="4"/>
        <v>18585.764655750001</v>
      </c>
      <c r="L4" s="227">
        <f t="shared" si="5"/>
        <v>8601.7227435616442</v>
      </c>
      <c r="M4" s="228">
        <v>14</v>
      </c>
      <c r="N4" s="230">
        <f t="shared" si="6"/>
        <v>6914.2340555555556</v>
      </c>
      <c r="O4" s="230">
        <f t="shared" si="7"/>
        <v>8625.7144113272225</v>
      </c>
      <c r="P4" s="230">
        <f t="shared" si="8"/>
        <v>23.991667765578313</v>
      </c>
      <c r="Q4" s="227">
        <f t="shared" si="9"/>
        <v>82970.808666666664</v>
      </c>
      <c r="R4" s="231">
        <f t="shared" si="10"/>
        <v>3.8356164383561646E-2</v>
      </c>
      <c r="S4" s="24">
        <f t="shared" si="11"/>
        <v>307612.17749931169</v>
      </c>
      <c r="T4" s="40">
        <v>10246</v>
      </c>
      <c r="U4" s="40">
        <v>51070.58</v>
      </c>
      <c r="V4" s="9">
        <v>30</v>
      </c>
      <c r="W4" s="9"/>
      <c r="X4" s="9"/>
      <c r="Y4" s="9">
        <f t="shared" si="12"/>
        <v>30</v>
      </c>
      <c r="Z4" s="757">
        <f t="shared" si="13"/>
        <v>30.022660306393878</v>
      </c>
    </row>
    <row r="5" spans="1:26" x14ac:dyDescent="0.25">
      <c r="A5" s="9" t="s">
        <v>665</v>
      </c>
      <c r="B5" s="9" t="s">
        <v>667</v>
      </c>
      <c r="C5" s="24">
        <v>190154.09</v>
      </c>
      <c r="D5" s="24">
        <v>77299.520000000004</v>
      </c>
      <c r="E5" s="24">
        <f t="shared" si="0"/>
        <v>43735.440699999999</v>
      </c>
      <c r="F5" s="24">
        <f t="shared" si="1"/>
        <v>2042.8232</v>
      </c>
      <c r="G5" s="24">
        <f t="shared" si="2"/>
        <v>4012.4041499999994</v>
      </c>
      <c r="H5" s="24">
        <v>19.03</v>
      </c>
      <c r="I5" s="24"/>
      <c r="J5" s="24">
        <f t="shared" si="3"/>
        <v>317263.30804999999</v>
      </c>
      <c r="K5" s="24">
        <f t="shared" si="4"/>
        <v>19855.910713500001</v>
      </c>
      <c r="L5" s="227">
        <f t="shared" si="5"/>
        <v>18408.181001095891</v>
      </c>
      <c r="M5" s="228">
        <v>28</v>
      </c>
      <c r="N5" s="230">
        <f t="shared" si="6"/>
        <v>14789.762555555557</v>
      </c>
      <c r="O5" s="230">
        <f t="shared" si="7"/>
        <v>18450.672480932226</v>
      </c>
      <c r="P5" s="230">
        <f t="shared" si="8"/>
        <v>42.491479836335202</v>
      </c>
      <c r="Q5" s="227">
        <f t="shared" si="9"/>
        <v>177477.15066666668</v>
      </c>
      <c r="R5" s="231">
        <f t="shared" si="10"/>
        <v>7.6712328767123292E-2</v>
      </c>
      <c r="S5" s="24">
        <f t="shared" si="11"/>
        <v>355527.3997645959</v>
      </c>
      <c r="T5" s="40">
        <v>11680</v>
      </c>
      <c r="U5" s="40">
        <v>51070.58</v>
      </c>
      <c r="V5" s="9">
        <v>30</v>
      </c>
      <c r="W5" s="9"/>
      <c r="X5" s="9"/>
      <c r="Y5" s="9">
        <f t="shared" si="12"/>
        <v>30</v>
      </c>
      <c r="Z5" s="757">
        <f t="shared" si="13"/>
        <v>30.438989705872938</v>
      </c>
    </row>
    <row r="6" spans="1:26" x14ac:dyDescent="0.25">
      <c r="A6" s="9" t="s">
        <v>665</v>
      </c>
      <c r="B6" s="9" t="s">
        <v>668</v>
      </c>
      <c r="C6" s="24">
        <v>135547.73000000001</v>
      </c>
      <c r="D6" s="24">
        <v>41072.67</v>
      </c>
      <c r="E6" s="24">
        <f t="shared" si="0"/>
        <v>31175.977900000005</v>
      </c>
      <c r="F6" s="24">
        <f t="shared" si="1"/>
        <v>2042.8231111111108</v>
      </c>
      <c r="G6" s="24">
        <f t="shared" si="2"/>
        <v>2649.9059999999999</v>
      </c>
      <c r="H6" s="24">
        <v>19.03</v>
      </c>
      <c r="I6" s="24"/>
      <c r="J6" s="24">
        <f t="shared" si="3"/>
        <v>212508.13701111113</v>
      </c>
      <c r="K6" s="24">
        <f t="shared" si="4"/>
        <v>14211.331294842594</v>
      </c>
      <c r="L6" s="227">
        <f t="shared" si="5"/>
        <v>13151.213907701676</v>
      </c>
      <c r="M6" s="228">
        <v>28</v>
      </c>
      <c r="N6" s="230">
        <f t="shared" si="6"/>
        <v>11714.00135802469</v>
      </c>
      <c r="O6" s="230">
        <f t="shared" si="7"/>
        <v>14613.568114176542</v>
      </c>
      <c r="P6" s="230">
        <f t="shared" si="8"/>
        <v>1462.3542064748654</v>
      </c>
      <c r="Q6" s="227">
        <f t="shared" si="9"/>
        <v>140568.01629629629</v>
      </c>
      <c r="R6" s="231">
        <f t="shared" si="10"/>
        <v>7.6712328767123292E-2</v>
      </c>
      <c r="S6" s="24">
        <f t="shared" si="11"/>
        <v>239870.68221365538</v>
      </c>
      <c r="T6" s="40">
        <v>7620</v>
      </c>
      <c r="U6" s="40">
        <v>45963.519999999997</v>
      </c>
      <c r="V6" s="9">
        <v>27</v>
      </c>
      <c r="W6" s="9">
        <v>3</v>
      </c>
      <c r="X6" s="9"/>
      <c r="Y6" s="9">
        <f t="shared" si="12"/>
        <v>30</v>
      </c>
      <c r="Z6" s="757">
        <f t="shared" si="13"/>
        <v>31.479092154023014</v>
      </c>
    </row>
    <row r="7" spans="1:26" x14ac:dyDescent="0.25">
      <c r="A7" s="9" t="s">
        <v>669</v>
      </c>
      <c r="B7" s="9" t="s">
        <v>301</v>
      </c>
      <c r="C7" s="24">
        <v>177248.07</v>
      </c>
      <c r="D7" s="24">
        <v>62821.23</v>
      </c>
      <c r="E7" s="24">
        <f t="shared" si="0"/>
        <v>40767.056100000002</v>
      </c>
      <c r="F7" s="24">
        <f t="shared" si="1"/>
        <v>2042.8232</v>
      </c>
      <c r="G7" s="24">
        <f t="shared" si="2"/>
        <v>3601.6395000000002</v>
      </c>
      <c r="H7" s="24">
        <v>19.03</v>
      </c>
      <c r="I7" s="24"/>
      <c r="J7" s="24">
        <f t="shared" si="3"/>
        <v>286499.84880000004</v>
      </c>
      <c r="K7" s="24">
        <f t="shared" si="4"/>
        <v>18525.236155250001</v>
      </c>
      <c r="L7" s="227">
        <f t="shared" si="5"/>
        <v>8579.4538717808227</v>
      </c>
      <c r="M7" s="228">
        <v>14</v>
      </c>
      <c r="N7" s="230">
        <f t="shared" si="6"/>
        <v>6892.9805000000006</v>
      </c>
      <c r="O7" s="230">
        <f t="shared" si="7"/>
        <v>8599.1999631650015</v>
      </c>
      <c r="P7" s="230">
        <f t="shared" si="8"/>
        <v>19.746091384178726</v>
      </c>
      <c r="Q7" s="227">
        <f t="shared" si="9"/>
        <v>82715.766000000003</v>
      </c>
      <c r="R7" s="231">
        <f t="shared" si="10"/>
        <v>3.8356164383561646E-2</v>
      </c>
      <c r="S7" s="24">
        <f t="shared" si="11"/>
        <v>313604.53882703086</v>
      </c>
      <c r="T7" s="40">
        <v>11789</v>
      </c>
      <c r="U7" s="40">
        <v>51070.58</v>
      </c>
      <c r="V7" s="9">
        <v>30</v>
      </c>
      <c r="W7" s="9"/>
      <c r="X7" s="9"/>
      <c r="Y7" s="9">
        <f t="shared" si="12"/>
        <v>30</v>
      </c>
      <c r="Z7" s="757">
        <f t="shared" si="13"/>
        <v>26.601453798204332</v>
      </c>
    </row>
    <row r="8" spans="1:26" x14ac:dyDescent="0.25">
      <c r="A8" s="9" t="s">
        <v>669</v>
      </c>
      <c r="B8" s="9" t="s">
        <v>206</v>
      </c>
      <c r="C8" s="24">
        <v>209896.84</v>
      </c>
      <c r="D8" s="24">
        <v>58963.12</v>
      </c>
      <c r="E8" s="24">
        <f t="shared" si="0"/>
        <v>48276.273200000003</v>
      </c>
      <c r="F8" s="24">
        <f t="shared" si="1"/>
        <v>2042.8232</v>
      </c>
      <c r="G8" s="24">
        <f t="shared" si="2"/>
        <v>4033.4994000000002</v>
      </c>
      <c r="H8" s="24">
        <v>19.03</v>
      </c>
      <c r="I8" s="24"/>
      <c r="J8" s="24">
        <f t="shared" si="3"/>
        <v>323231.5858</v>
      </c>
      <c r="K8" s="24">
        <f t="shared" si="4"/>
        <v>21914.764456000001</v>
      </c>
      <c r="L8" s="227">
        <f t="shared" si="5"/>
        <v>25340.811789041094</v>
      </c>
      <c r="M8" s="228">
        <v>35</v>
      </c>
      <c r="N8" s="230">
        <f t="shared" si="6"/>
        <v>20406.637222222223</v>
      </c>
      <c r="O8" s="230">
        <f t="shared" si="7"/>
        <v>25457.892133838894</v>
      </c>
      <c r="P8" s="230">
        <f t="shared" si="8"/>
        <v>117.08034479779963</v>
      </c>
      <c r="Q8" s="227">
        <f t="shared" si="9"/>
        <v>244879.64666666667</v>
      </c>
      <c r="R8" s="231">
        <f t="shared" si="10"/>
        <v>9.5890410958904104E-2</v>
      </c>
      <c r="S8" s="24">
        <f t="shared" si="11"/>
        <v>370487.1620450411</v>
      </c>
      <c r="T8" s="40">
        <v>11178</v>
      </c>
      <c r="U8" s="40">
        <v>51070.58</v>
      </c>
      <c r="V8" s="9">
        <v>30</v>
      </c>
      <c r="W8" s="9"/>
      <c r="X8" s="9"/>
      <c r="Y8" s="9">
        <f t="shared" si="12"/>
        <v>30</v>
      </c>
      <c r="Z8" s="757">
        <f t="shared" si="13"/>
        <v>33.144315802920119</v>
      </c>
    </row>
    <row r="9" spans="1:26" x14ac:dyDescent="0.25">
      <c r="A9" s="9" t="s">
        <v>669</v>
      </c>
      <c r="B9" s="9" t="s">
        <v>198</v>
      </c>
      <c r="C9" s="24">
        <v>171387.27</v>
      </c>
      <c r="D9" s="24">
        <v>73861.59</v>
      </c>
      <c r="E9" s="24">
        <f t="shared" si="0"/>
        <v>39419.072099999998</v>
      </c>
      <c r="F9" s="24">
        <f t="shared" si="1"/>
        <v>2042.8232</v>
      </c>
      <c r="G9" s="24">
        <f t="shared" si="2"/>
        <v>3679.3328999999994</v>
      </c>
      <c r="H9" s="24">
        <v>19.03</v>
      </c>
      <c r="I9" s="24"/>
      <c r="J9" s="24">
        <f t="shared" si="3"/>
        <v>290409.11819999997</v>
      </c>
      <c r="K9" s="24">
        <f t="shared" si="4"/>
        <v>17910.829948250001</v>
      </c>
      <c r="L9" s="227">
        <f t="shared" si="5"/>
        <v>16611.865176986303</v>
      </c>
      <c r="M9" s="228">
        <v>28</v>
      </c>
      <c r="N9" s="230">
        <f t="shared" si="6"/>
        <v>13330.120999999999</v>
      </c>
      <c r="O9" s="230">
        <f t="shared" si="7"/>
        <v>16629.725851129999</v>
      </c>
      <c r="P9" s="230">
        <f t="shared" si="8"/>
        <v>17.860674143696087</v>
      </c>
      <c r="Q9" s="227">
        <f t="shared" si="9"/>
        <v>159961.45199999999</v>
      </c>
      <c r="R9" s="231">
        <f t="shared" si="10"/>
        <v>7.6712328767123292E-2</v>
      </c>
      <c r="S9" s="24">
        <f t="shared" si="11"/>
        <v>324931.81332523632</v>
      </c>
      <c r="T9" s="40">
        <v>10137</v>
      </c>
      <c r="U9" s="40">
        <v>51070.58</v>
      </c>
      <c r="V9" s="9">
        <v>30</v>
      </c>
      <c r="W9" s="9"/>
      <c r="X9" s="9"/>
      <c r="Y9" s="9">
        <f t="shared" si="12"/>
        <v>30</v>
      </c>
      <c r="Z9" s="757">
        <f t="shared" si="13"/>
        <v>32.054040971217944</v>
      </c>
    </row>
    <row r="10" spans="1:26" x14ac:dyDescent="0.25">
      <c r="A10" s="9" t="s">
        <v>669</v>
      </c>
      <c r="B10" s="9" t="s">
        <v>670</v>
      </c>
      <c r="C10" s="24">
        <v>204637.24</v>
      </c>
      <c r="D10" s="24">
        <v>68920.11</v>
      </c>
      <c r="E10" s="24">
        <f t="shared" si="0"/>
        <v>47066.565199999997</v>
      </c>
      <c r="F10" s="24">
        <f t="shared" si="1"/>
        <v>2042.8232</v>
      </c>
      <c r="G10" s="24">
        <f t="shared" si="2"/>
        <v>4103.9602500000001</v>
      </c>
      <c r="H10" s="24">
        <v>19.03</v>
      </c>
      <c r="I10" s="24"/>
      <c r="J10" s="24">
        <f t="shared" si="3"/>
        <v>326789.72865</v>
      </c>
      <c r="K10" s="24">
        <f t="shared" si="4"/>
        <v>21363.355686750001</v>
      </c>
      <c r="L10" s="227">
        <f t="shared" si="5"/>
        <v>19781.778964931509</v>
      </c>
      <c r="M10" s="228">
        <v>28</v>
      </c>
      <c r="N10" s="230">
        <f t="shared" si="6"/>
        <v>15916.229777777779</v>
      </c>
      <c r="O10" s="230">
        <f t="shared" si="7"/>
        <v>19855.974134671113</v>
      </c>
      <c r="P10" s="230">
        <f t="shared" si="8"/>
        <v>74.195169739603443</v>
      </c>
      <c r="Q10" s="227">
        <f t="shared" si="9"/>
        <v>190994.75733333334</v>
      </c>
      <c r="R10" s="231">
        <f t="shared" si="10"/>
        <v>7.6712328767123292E-2</v>
      </c>
      <c r="S10" s="24">
        <f t="shared" si="11"/>
        <v>367934.86330168147</v>
      </c>
      <c r="T10" s="40">
        <v>11892</v>
      </c>
      <c r="U10" s="40">
        <v>51070.58</v>
      </c>
      <c r="V10" s="9">
        <v>30</v>
      </c>
      <c r="W10" s="9"/>
      <c r="X10" s="9"/>
      <c r="Y10" s="9">
        <f t="shared" si="12"/>
        <v>30</v>
      </c>
      <c r="Z10" s="757">
        <f t="shared" si="13"/>
        <v>30.939695871315294</v>
      </c>
    </row>
    <row r="11" spans="1:26" x14ac:dyDescent="0.25">
      <c r="A11" s="9" t="s">
        <v>669</v>
      </c>
      <c r="B11" s="9" t="s">
        <v>149</v>
      </c>
      <c r="C11" s="24">
        <v>197451.37</v>
      </c>
      <c r="D11" s="24">
        <v>71739.009999999995</v>
      </c>
      <c r="E11" s="24">
        <f t="shared" si="0"/>
        <v>45413.8151</v>
      </c>
      <c r="F11" s="24">
        <f t="shared" si="1"/>
        <v>2042.8232</v>
      </c>
      <c r="G11" s="24">
        <f t="shared" si="2"/>
        <v>4038.4557</v>
      </c>
      <c r="H11" s="24">
        <v>19.03</v>
      </c>
      <c r="I11" s="24"/>
      <c r="J11" s="24">
        <f t="shared" si="3"/>
        <v>320704.50400000002</v>
      </c>
      <c r="K11" s="24">
        <f t="shared" si="4"/>
        <v>20616.200806750003</v>
      </c>
      <c r="L11" s="227">
        <f t="shared" si="5"/>
        <v>9549.3614136986307</v>
      </c>
      <c r="M11" s="228">
        <v>14</v>
      </c>
      <c r="N11" s="230">
        <f t="shared" si="6"/>
        <v>7678.6643888888893</v>
      </c>
      <c r="O11" s="230">
        <f t="shared" si="7"/>
        <v>9579.3641850705571</v>
      </c>
      <c r="P11" s="230">
        <f t="shared" si="8"/>
        <v>30.002771371926428</v>
      </c>
      <c r="Q11" s="227">
        <f t="shared" si="9"/>
        <v>92143.972666666668</v>
      </c>
      <c r="R11" s="231">
        <f t="shared" si="10"/>
        <v>3.8356164383561646E-2</v>
      </c>
      <c r="S11" s="24">
        <f t="shared" si="11"/>
        <v>350870.06622044864</v>
      </c>
      <c r="T11" s="40">
        <v>12929</v>
      </c>
      <c r="U11" s="40">
        <v>51070.58</v>
      </c>
      <c r="V11" s="9">
        <v>30</v>
      </c>
      <c r="W11" s="9"/>
      <c r="X11" s="9"/>
      <c r="Y11" s="9">
        <f t="shared" si="12"/>
        <v>30</v>
      </c>
      <c r="Z11" s="757">
        <f t="shared" si="13"/>
        <v>27.138221534569468</v>
      </c>
    </row>
    <row r="12" spans="1:26" x14ac:dyDescent="0.25">
      <c r="A12" s="9" t="s">
        <v>669</v>
      </c>
      <c r="B12" s="9" t="s">
        <v>173</v>
      </c>
      <c r="C12" s="24">
        <v>106073.52</v>
      </c>
      <c r="D12" s="24">
        <v>36362.910000000003</v>
      </c>
      <c r="E12" s="24">
        <f t="shared" si="0"/>
        <v>24396.909600000003</v>
      </c>
      <c r="F12" s="24">
        <f t="shared" si="1"/>
        <v>2042.8232</v>
      </c>
      <c r="G12" s="24">
        <f t="shared" si="2"/>
        <v>2137.1464499999997</v>
      </c>
      <c r="H12" s="24">
        <v>19.03</v>
      </c>
      <c r="I12" s="24"/>
      <c r="J12" s="24">
        <f t="shared" si="3"/>
        <v>171032.33925000002</v>
      </c>
      <c r="K12" s="24">
        <f t="shared" si="4"/>
        <v>11156.090126750001</v>
      </c>
      <c r="L12" s="227">
        <f t="shared" si="5"/>
        <v>5165.4027657534252</v>
      </c>
      <c r="M12" s="228">
        <v>14</v>
      </c>
      <c r="N12" s="230">
        <f t="shared" si="6"/>
        <v>4125.0813333333335</v>
      </c>
      <c r="O12" s="230">
        <f t="shared" si="7"/>
        <v>5146.1627157733337</v>
      </c>
      <c r="P12" s="230">
        <f t="shared" si="8"/>
        <v>-19.240049980091499</v>
      </c>
      <c r="Q12" s="227">
        <f t="shared" si="9"/>
        <v>49500.976000000002</v>
      </c>
      <c r="R12" s="231">
        <f t="shared" si="10"/>
        <v>3.8356164383561646E-2</v>
      </c>
      <c r="S12" s="24">
        <f t="shared" si="11"/>
        <v>187353.83214250344</v>
      </c>
      <c r="T12" s="40">
        <v>7950</v>
      </c>
      <c r="U12" s="40">
        <v>51070.58</v>
      </c>
      <c r="V12" s="9">
        <v>30</v>
      </c>
      <c r="W12" s="9"/>
      <c r="X12" s="9"/>
      <c r="Y12" s="9">
        <f t="shared" si="12"/>
        <v>30</v>
      </c>
      <c r="Z12" s="757">
        <f t="shared" si="13"/>
        <v>23.566519766352634</v>
      </c>
    </row>
    <row r="13" spans="1:26" x14ac:dyDescent="0.25">
      <c r="A13" s="9" t="s">
        <v>669</v>
      </c>
      <c r="B13" s="9" t="s">
        <v>145</v>
      </c>
      <c r="C13" s="24">
        <v>203105.63</v>
      </c>
      <c r="D13" s="24">
        <v>77973.83</v>
      </c>
      <c r="E13" s="24">
        <f t="shared" si="0"/>
        <v>46714.294900000001</v>
      </c>
      <c r="F13" s="24">
        <f t="shared" si="1"/>
        <v>2042.8232</v>
      </c>
      <c r="G13" s="24">
        <f t="shared" si="2"/>
        <v>4216.7919000000002</v>
      </c>
      <c r="H13" s="24">
        <v>19.03</v>
      </c>
      <c r="I13" s="24"/>
      <c r="J13" s="24">
        <f t="shared" si="3"/>
        <v>334072.40000000002</v>
      </c>
      <c r="K13" s="24">
        <f t="shared" si="4"/>
        <v>21199.245260250002</v>
      </c>
      <c r="L13" s="227">
        <f t="shared" si="5"/>
        <v>19645.917698630139</v>
      </c>
      <c r="M13" s="228">
        <v>28</v>
      </c>
      <c r="N13" s="230">
        <f t="shared" si="6"/>
        <v>15797.104555555556</v>
      </c>
      <c r="O13" s="230">
        <f t="shared" si="7"/>
        <v>19707.36184619222</v>
      </c>
      <c r="P13" s="230">
        <f t="shared" si="8"/>
        <v>61.444147562080616</v>
      </c>
      <c r="Q13" s="227">
        <f t="shared" si="9"/>
        <v>189565.25466666667</v>
      </c>
      <c r="R13" s="231">
        <f t="shared" si="10"/>
        <v>7.6712328767123292E-2</v>
      </c>
      <c r="S13" s="24">
        <f t="shared" si="11"/>
        <v>374917.56295888015</v>
      </c>
      <c r="T13" s="40">
        <v>10983</v>
      </c>
      <c r="U13" s="40">
        <v>51070.58</v>
      </c>
      <c r="V13" s="9">
        <v>30</v>
      </c>
      <c r="W13" s="9"/>
      <c r="X13" s="9"/>
      <c r="Y13" s="9">
        <f t="shared" si="12"/>
        <v>30</v>
      </c>
      <c r="Z13" s="757">
        <f t="shared" si="13"/>
        <v>34.136170714639</v>
      </c>
    </row>
    <row r="14" spans="1:26" x14ac:dyDescent="0.25">
      <c r="A14" s="9" t="s">
        <v>669</v>
      </c>
      <c r="B14" s="9" t="s">
        <v>671</v>
      </c>
      <c r="C14" s="24">
        <v>162846.43</v>
      </c>
      <c r="D14" s="24">
        <v>48704.22</v>
      </c>
      <c r="E14" s="24">
        <f t="shared" si="0"/>
        <v>37454.678899999999</v>
      </c>
      <c r="F14" s="24">
        <f t="shared" si="1"/>
        <v>2042.8231304347828</v>
      </c>
      <c r="G14" s="24">
        <f t="shared" si="2"/>
        <v>3173.8597499999996</v>
      </c>
      <c r="H14" s="24">
        <v>19.03</v>
      </c>
      <c r="I14" s="24"/>
      <c r="J14" s="24">
        <f t="shared" si="3"/>
        <v>254241.04178043478</v>
      </c>
      <c r="K14" s="24">
        <f t="shared" si="4"/>
        <v>17039.183280202898</v>
      </c>
      <c r="L14" s="227">
        <f t="shared" si="5"/>
        <v>15767.208246170339</v>
      </c>
      <c r="M14" s="228">
        <v>28</v>
      </c>
      <c r="N14" s="230">
        <f t="shared" si="6"/>
        <v>16520.652318840581</v>
      </c>
      <c r="O14" s="230">
        <f t="shared" si="7"/>
        <v>20610.009387323189</v>
      </c>
      <c r="P14" s="230">
        <f t="shared" si="8"/>
        <v>4842.8011411528496</v>
      </c>
      <c r="Q14" s="227">
        <f t="shared" si="9"/>
        <v>198247.82782608696</v>
      </c>
      <c r="R14" s="231">
        <f t="shared" si="10"/>
        <v>7.6712328767123292E-2</v>
      </c>
      <c r="S14" s="24">
        <f t="shared" si="11"/>
        <v>287047.433306808</v>
      </c>
      <c r="T14" s="40">
        <v>9153</v>
      </c>
      <c r="U14" s="40">
        <v>39154.11</v>
      </c>
      <c r="V14" s="9">
        <v>23</v>
      </c>
      <c r="W14" s="9">
        <v>7</v>
      </c>
      <c r="X14" s="9"/>
      <c r="Y14" s="9">
        <f t="shared" si="12"/>
        <v>30</v>
      </c>
      <c r="Z14" s="757">
        <f t="shared" si="13"/>
        <v>31.361021884279253</v>
      </c>
    </row>
    <row r="15" spans="1:26" x14ac:dyDescent="0.25">
      <c r="A15" s="9" t="s">
        <v>669</v>
      </c>
      <c r="B15" s="9" t="s">
        <v>672</v>
      </c>
      <c r="C15" s="24">
        <v>173309.19</v>
      </c>
      <c r="D15" s="24">
        <v>50919.92</v>
      </c>
      <c r="E15" s="24">
        <f t="shared" si="0"/>
        <v>39861.113700000002</v>
      </c>
      <c r="F15" s="24">
        <f t="shared" si="1"/>
        <v>2042.8232</v>
      </c>
      <c r="G15" s="24">
        <f t="shared" si="2"/>
        <v>3364.0366499999996</v>
      </c>
      <c r="H15" s="24">
        <v>19.03</v>
      </c>
      <c r="I15" s="24"/>
      <c r="J15" s="24">
        <f t="shared" si="3"/>
        <v>269516.11355000001</v>
      </c>
      <c r="K15" s="24">
        <f t="shared" si="4"/>
        <v>18123.420608500001</v>
      </c>
      <c r="L15" s="227">
        <f t="shared" si="5"/>
        <v>8384.5115334246584</v>
      </c>
      <c r="M15" s="228">
        <v>14</v>
      </c>
      <c r="N15" s="230">
        <f t="shared" si="6"/>
        <v>6739.8018333333339</v>
      </c>
      <c r="O15" s="230">
        <f t="shared" si="7"/>
        <v>8408.1049811383346</v>
      </c>
      <c r="P15" s="230">
        <f t="shared" si="8"/>
        <v>23.593447713676142</v>
      </c>
      <c r="Q15" s="227">
        <f t="shared" si="9"/>
        <v>80877.622000000003</v>
      </c>
      <c r="R15" s="231">
        <f t="shared" si="10"/>
        <v>3.8356164383561646E-2</v>
      </c>
      <c r="S15" s="24">
        <f t="shared" si="11"/>
        <v>296024.04569192469</v>
      </c>
      <c r="T15" s="40">
        <v>10802</v>
      </c>
      <c r="U15" s="40">
        <v>51070.58</v>
      </c>
      <c r="V15" s="9">
        <v>30</v>
      </c>
      <c r="W15" s="9"/>
      <c r="X15" s="9"/>
      <c r="Y15" s="9">
        <f t="shared" si="12"/>
        <v>30</v>
      </c>
      <c r="Z15" s="757">
        <f t="shared" si="13"/>
        <v>27.404558942040797</v>
      </c>
    </row>
    <row r="16" spans="1:26" x14ac:dyDescent="0.25">
      <c r="A16" s="242" t="s">
        <v>673</v>
      </c>
      <c r="B16" s="242" t="s">
        <v>98</v>
      </c>
      <c r="C16" s="243">
        <v>164845.43</v>
      </c>
      <c r="D16" s="243">
        <v>47801.49</v>
      </c>
      <c r="E16" s="243">
        <f t="shared" si="0"/>
        <v>37914.448900000003</v>
      </c>
      <c r="F16" s="243">
        <f t="shared" si="1"/>
        <v>2042.8232307692306</v>
      </c>
      <c r="G16" s="243">
        <f t="shared" si="2"/>
        <v>3190.3037999999997</v>
      </c>
      <c r="H16" s="243">
        <v>19.03</v>
      </c>
      <c r="I16" s="243">
        <v>37935.120000000003</v>
      </c>
      <c r="J16" s="243">
        <f t="shared" si="3"/>
        <v>217878.40593076922</v>
      </c>
      <c r="K16" s="243">
        <f t="shared" si="4"/>
        <v>17247.098608314103</v>
      </c>
      <c r="L16" s="245">
        <f t="shared" si="5"/>
        <v>15957.087687839832</v>
      </c>
      <c r="M16" s="229">
        <v>28</v>
      </c>
      <c r="N16" s="246">
        <f t="shared" si="6"/>
        <v>14793.820641025641</v>
      </c>
      <c r="O16" s="246">
        <f t="shared" si="7"/>
        <v>18455.735064298718</v>
      </c>
      <c r="P16" s="246">
        <f t="shared" si="8"/>
        <v>2498.6473764588864</v>
      </c>
      <c r="Q16" s="245">
        <f t="shared" si="9"/>
        <v>177525.8476923077</v>
      </c>
      <c r="R16" s="247">
        <f t="shared" si="10"/>
        <v>7.6712328767123292E-2</v>
      </c>
      <c r="S16" s="243">
        <f t="shared" si="11"/>
        <v>251082.59222692318</v>
      </c>
      <c r="T16" s="244">
        <v>9568</v>
      </c>
      <c r="U16" s="244">
        <v>44261.17</v>
      </c>
      <c r="V16" s="242">
        <v>26</v>
      </c>
      <c r="W16" s="242"/>
      <c r="X16" s="242">
        <v>4</v>
      </c>
      <c r="Y16" s="242">
        <f t="shared" si="12"/>
        <v>30</v>
      </c>
      <c r="Z16" s="242"/>
    </row>
    <row r="17" spans="1:28" x14ac:dyDescent="0.25">
      <c r="A17" s="242" t="s">
        <v>673</v>
      </c>
      <c r="B17" s="242" t="s">
        <v>674</v>
      </c>
      <c r="C17" s="243">
        <v>207443.88</v>
      </c>
      <c r="D17" s="243">
        <v>78648.3</v>
      </c>
      <c r="E17" s="243">
        <f t="shared" si="0"/>
        <v>47712.092400000001</v>
      </c>
      <c r="F17" s="243">
        <f t="shared" si="1"/>
        <v>2042.8232</v>
      </c>
      <c r="G17" s="243">
        <f t="shared" si="2"/>
        <v>4291.9827000000005</v>
      </c>
      <c r="H17" s="243">
        <v>19.03</v>
      </c>
      <c r="I17" s="243">
        <v>45522.14</v>
      </c>
      <c r="J17" s="243">
        <f t="shared" si="3"/>
        <v>294635.96830000001</v>
      </c>
      <c r="K17" s="243">
        <f t="shared" si="4"/>
        <v>21648.950877499999</v>
      </c>
      <c r="L17" s="245">
        <f t="shared" si="5"/>
        <v>15045.769792602739</v>
      </c>
      <c r="M17" s="229">
        <v>21</v>
      </c>
      <c r="N17" s="246">
        <f t="shared" si="6"/>
        <v>12100.893000000002</v>
      </c>
      <c r="O17" s="246">
        <f t="shared" si="7"/>
        <v>15096.227044290003</v>
      </c>
      <c r="P17" s="246">
        <f t="shared" si="8"/>
        <v>50.457251687263124</v>
      </c>
      <c r="Q17" s="245">
        <f t="shared" si="9"/>
        <v>145210.71600000001</v>
      </c>
      <c r="R17" s="247">
        <f t="shared" si="10"/>
        <v>5.7534246575342465E-2</v>
      </c>
      <c r="S17" s="243">
        <f t="shared" si="11"/>
        <v>331330.68897010275</v>
      </c>
      <c r="T17" s="244">
        <v>12248</v>
      </c>
      <c r="U17" s="244">
        <v>51070.58</v>
      </c>
      <c r="V17" s="242">
        <v>30</v>
      </c>
      <c r="W17" s="242"/>
      <c r="X17" s="242"/>
      <c r="Y17" s="242">
        <f t="shared" si="12"/>
        <v>30</v>
      </c>
      <c r="Z17" s="242"/>
    </row>
    <row r="18" spans="1:28" x14ac:dyDescent="0.25">
      <c r="A18" s="242" t="s">
        <v>673</v>
      </c>
      <c r="B18" s="242" t="s">
        <v>675</v>
      </c>
      <c r="C18" s="243">
        <v>174485.16</v>
      </c>
      <c r="D18" s="243">
        <v>56532.59</v>
      </c>
      <c r="E18" s="243">
        <f t="shared" si="0"/>
        <v>40131.586800000005</v>
      </c>
      <c r="F18" s="243">
        <f t="shared" si="1"/>
        <v>2042.8232</v>
      </c>
      <c r="G18" s="243">
        <f t="shared" si="2"/>
        <v>3465.8662499999996</v>
      </c>
      <c r="H18" s="243">
        <v>19.03</v>
      </c>
      <c r="I18" s="243">
        <v>45522.14</v>
      </c>
      <c r="J18" s="243">
        <f t="shared" si="3"/>
        <v>231154.91625000001</v>
      </c>
      <c r="K18" s="243">
        <f t="shared" si="4"/>
        <v>18242.200210750001</v>
      </c>
      <c r="L18" s="245">
        <f t="shared" si="5"/>
        <v>16887.794671232881</v>
      </c>
      <c r="M18" s="229">
        <v>28</v>
      </c>
      <c r="N18" s="246">
        <f t="shared" si="6"/>
        <v>13571.068000000001</v>
      </c>
      <c r="O18" s="246">
        <f t="shared" si="7"/>
        <v>16930.314462040002</v>
      </c>
      <c r="P18" s="246">
        <f t="shared" si="8"/>
        <v>42.519790807120444</v>
      </c>
      <c r="Q18" s="245">
        <f t="shared" si="9"/>
        <v>162852.81600000002</v>
      </c>
      <c r="R18" s="247">
        <f t="shared" si="10"/>
        <v>7.6712328767123292E-2</v>
      </c>
      <c r="S18" s="243">
        <f t="shared" si="11"/>
        <v>266284.91113198287</v>
      </c>
      <c r="T18" s="244">
        <v>10866</v>
      </c>
      <c r="U18" s="244">
        <v>51070.58</v>
      </c>
      <c r="V18" s="242">
        <v>30</v>
      </c>
      <c r="W18" s="242"/>
      <c r="X18" s="242"/>
      <c r="Y18" s="242">
        <f t="shared" si="12"/>
        <v>30</v>
      </c>
      <c r="Z18" s="242"/>
    </row>
    <row r="19" spans="1:28" x14ac:dyDescent="0.25">
      <c r="A19" s="242" t="s">
        <v>673</v>
      </c>
      <c r="B19" s="242" t="s">
        <v>676</v>
      </c>
      <c r="C19" s="243">
        <v>207520.45</v>
      </c>
      <c r="D19" s="243">
        <v>75669.399999999994</v>
      </c>
      <c r="E19" s="243">
        <f t="shared" si="0"/>
        <v>47729.703500000003</v>
      </c>
      <c r="F19" s="243">
        <f t="shared" si="1"/>
        <v>2042.8232</v>
      </c>
      <c r="G19" s="243">
        <f t="shared" si="2"/>
        <v>4248.4477500000003</v>
      </c>
      <c r="H19" s="243">
        <v>19.03</v>
      </c>
      <c r="I19" s="243">
        <v>45522.14</v>
      </c>
      <c r="J19" s="243">
        <f t="shared" si="3"/>
        <v>291707.71444999997</v>
      </c>
      <c r="K19" s="243">
        <f t="shared" si="4"/>
        <v>21658.6078825</v>
      </c>
      <c r="L19" s="245">
        <f t="shared" si="5"/>
        <v>15048.683680684933</v>
      </c>
      <c r="M19" s="229">
        <v>21</v>
      </c>
      <c r="N19" s="246">
        <f t="shared" si="6"/>
        <v>12105.359583333333</v>
      </c>
      <c r="O19" s="246">
        <f t="shared" si="7"/>
        <v>15101.799240995833</v>
      </c>
      <c r="P19" s="246">
        <f t="shared" si="8"/>
        <v>53.115560310900037</v>
      </c>
      <c r="Q19" s="245">
        <f t="shared" si="9"/>
        <v>145264.315</v>
      </c>
      <c r="R19" s="247">
        <f t="shared" si="10"/>
        <v>5.7534246575342465E-2</v>
      </c>
      <c r="S19" s="243">
        <f t="shared" si="11"/>
        <v>328415.0060131849</v>
      </c>
      <c r="T19" s="244">
        <v>13052</v>
      </c>
      <c r="U19" s="244">
        <v>51070.58</v>
      </c>
      <c r="V19" s="242">
        <v>30</v>
      </c>
      <c r="W19" s="242"/>
      <c r="X19" s="242"/>
      <c r="Y19" s="242">
        <f t="shared" si="12"/>
        <v>30</v>
      </c>
      <c r="Z19" s="242"/>
    </row>
    <row r="20" spans="1:28" x14ac:dyDescent="0.25">
      <c r="A20" s="242" t="s">
        <v>673</v>
      </c>
      <c r="B20" s="242" t="s">
        <v>677</v>
      </c>
      <c r="C20" s="243">
        <v>195395.56</v>
      </c>
      <c r="D20" s="243">
        <v>64891.65</v>
      </c>
      <c r="E20" s="243">
        <f t="shared" si="0"/>
        <v>44940.978800000004</v>
      </c>
      <c r="F20" s="243">
        <f t="shared" si="1"/>
        <v>2042.8232</v>
      </c>
      <c r="G20" s="243">
        <f t="shared" si="2"/>
        <v>3904.9081499999998</v>
      </c>
      <c r="H20" s="243">
        <v>19.03</v>
      </c>
      <c r="I20" s="243">
        <v>45522.14</v>
      </c>
      <c r="J20" s="243">
        <f t="shared" si="3"/>
        <v>265672.81014999998</v>
      </c>
      <c r="K20" s="243">
        <f t="shared" si="4"/>
        <v>20406.847751250003</v>
      </c>
      <c r="L20" s="245">
        <f t="shared" si="5"/>
        <v>18894.49973753425</v>
      </c>
      <c r="M20" s="229">
        <v>28</v>
      </c>
      <c r="N20" s="246">
        <f t="shared" si="6"/>
        <v>15197.432444444443</v>
      </c>
      <c r="O20" s="246">
        <f t="shared" si="7"/>
        <v>18959.252897417777</v>
      </c>
      <c r="P20" s="246">
        <f t="shared" si="8"/>
        <v>64.753159883526678</v>
      </c>
      <c r="Q20" s="245">
        <f t="shared" si="9"/>
        <v>182369.18933333331</v>
      </c>
      <c r="R20" s="247">
        <f t="shared" si="10"/>
        <v>7.6712328767123292E-2</v>
      </c>
      <c r="S20" s="243">
        <f t="shared" si="11"/>
        <v>304974.15763878427</v>
      </c>
      <c r="T20" s="244">
        <v>9556</v>
      </c>
      <c r="U20" s="244">
        <v>51070.58</v>
      </c>
      <c r="V20" s="242">
        <v>30</v>
      </c>
      <c r="W20" s="242"/>
      <c r="X20" s="242"/>
      <c r="Y20" s="242">
        <f t="shared" si="12"/>
        <v>30</v>
      </c>
      <c r="Z20" s="242"/>
    </row>
    <row r="21" spans="1:28" x14ac:dyDescent="0.25">
      <c r="A21" s="242" t="s">
        <v>673</v>
      </c>
      <c r="B21" s="242" t="s">
        <v>234</v>
      </c>
      <c r="C21" s="243">
        <v>47963.97</v>
      </c>
      <c r="D21" s="243">
        <v>15443.47</v>
      </c>
      <c r="E21" s="243">
        <f t="shared" si="0"/>
        <v>11031.713100000001</v>
      </c>
      <c r="F21" s="243">
        <f t="shared" si="1"/>
        <v>2042.8227692307696</v>
      </c>
      <c r="G21" s="243">
        <f t="shared" si="2"/>
        <v>951.71159999999998</v>
      </c>
      <c r="H21" s="243">
        <v>19.03</v>
      </c>
      <c r="I21" s="243">
        <v>9483.7800000000007</v>
      </c>
      <c r="J21" s="243">
        <f t="shared" si="3"/>
        <v>67968.937469230761</v>
      </c>
      <c r="K21" s="243">
        <f t="shared" si="4"/>
        <v>5139.252956352565</v>
      </c>
      <c r="L21" s="245">
        <f t="shared" si="5"/>
        <v>4756.8737784615387</v>
      </c>
      <c r="M21" s="229">
        <v>28</v>
      </c>
      <c r="N21" s="246">
        <f t="shared" si="6"/>
        <v>8608.9176923076921</v>
      </c>
      <c r="O21" s="246">
        <f t="shared" si="7"/>
        <v>10739.883088684615</v>
      </c>
      <c r="P21" s="246">
        <f t="shared" si="8"/>
        <v>5983.0093102230767</v>
      </c>
      <c r="Q21" s="245">
        <f t="shared" si="9"/>
        <v>103307.0123076923</v>
      </c>
      <c r="R21" s="247">
        <f t="shared" si="10"/>
        <v>7.6712328767123292E-2</v>
      </c>
      <c r="S21" s="243">
        <f t="shared" si="11"/>
        <v>77865.064204044858</v>
      </c>
      <c r="T21" s="244">
        <v>2960</v>
      </c>
      <c r="U21" s="244">
        <v>22130.58</v>
      </c>
      <c r="V21" s="242">
        <v>13</v>
      </c>
      <c r="W21" s="242"/>
      <c r="X21" s="242"/>
      <c r="Y21" s="242">
        <f t="shared" si="12"/>
        <v>13</v>
      </c>
      <c r="Z21" s="242"/>
    </row>
    <row r="22" spans="1:28" x14ac:dyDescent="0.25">
      <c r="A22" s="242" t="s">
        <v>673</v>
      </c>
      <c r="B22" s="242" t="s">
        <v>122</v>
      </c>
      <c r="C22" s="243">
        <v>193285.4</v>
      </c>
      <c r="D22" s="243">
        <v>66088.63</v>
      </c>
      <c r="E22" s="243">
        <f t="shared" si="0"/>
        <v>44455.642</v>
      </c>
      <c r="F22" s="243">
        <f t="shared" si="1"/>
        <v>2042.8232</v>
      </c>
      <c r="G22" s="243">
        <f t="shared" si="2"/>
        <v>3891.2104499999996</v>
      </c>
      <c r="H22" s="243">
        <v>19.03</v>
      </c>
      <c r="I22" s="243">
        <v>45522.14</v>
      </c>
      <c r="J22" s="243">
        <f t="shared" si="3"/>
        <v>264260.59565000003</v>
      </c>
      <c r="K22" s="243">
        <f t="shared" si="4"/>
        <v>20187.230387750002</v>
      </c>
      <c r="L22" s="245">
        <f t="shared" si="5"/>
        <v>18694.342351232877</v>
      </c>
      <c r="M22" s="229">
        <v>28</v>
      </c>
      <c r="N22" s="246">
        <f t="shared" si="6"/>
        <v>15033.308888888889</v>
      </c>
      <c r="O22" s="246">
        <f t="shared" si="7"/>
        <v>18754.503838155557</v>
      </c>
      <c r="P22" s="246">
        <f t="shared" si="8"/>
        <v>60.161486922679615</v>
      </c>
      <c r="Q22" s="245">
        <f t="shared" si="9"/>
        <v>180399.70666666667</v>
      </c>
      <c r="R22" s="247">
        <f t="shared" si="10"/>
        <v>7.6712328767123292E-2</v>
      </c>
      <c r="S22" s="243">
        <f t="shared" si="11"/>
        <v>303142.16838898294</v>
      </c>
      <c r="T22" s="244">
        <v>10360</v>
      </c>
      <c r="U22" s="244">
        <v>51070.58</v>
      </c>
      <c r="V22" s="242">
        <v>30</v>
      </c>
      <c r="W22" s="242"/>
      <c r="X22" s="242"/>
      <c r="Y22" s="242">
        <f t="shared" si="12"/>
        <v>30</v>
      </c>
      <c r="Z22" s="242"/>
    </row>
    <row r="24" spans="1:28" x14ac:dyDescent="0.25">
      <c r="H24" s="730" t="s">
        <v>696</v>
      </c>
      <c r="I24" s="730"/>
      <c r="J24" s="730"/>
      <c r="K24" s="730"/>
      <c r="L24" s="36"/>
      <c r="M24" s="36"/>
      <c r="N24" s="36"/>
      <c r="O24" s="36"/>
      <c r="P24" s="36"/>
      <c r="Q24" s="36"/>
      <c r="R24" s="36"/>
      <c r="S24" s="51">
        <f>SUM(S3:S15)</f>
        <v>4096093.9249545801</v>
      </c>
      <c r="T24" s="40">
        <f>SUM(T3:T15)</f>
        <v>137158</v>
      </c>
      <c r="U24" s="24">
        <f>S24/T24</f>
        <v>29.864054046826144</v>
      </c>
    </row>
    <row r="25" spans="1:28" x14ac:dyDescent="0.25">
      <c r="H25" s="732" t="s">
        <v>697</v>
      </c>
      <c r="I25" s="733"/>
      <c r="J25" s="733"/>
      <c r="K25" s="733"/>
      <c r="L25" s="239"/>
      <c r="M25" s="239"/>
      <c r="N25" s="239"/>
      <c r="O25" s="239"/>
      <c r="P25" s="239"/>
      <c r="Q25" s="239"/>
      <c r="R25" s="239"/>
      <c r="S25" s="248">
        <f>SUM(S16:S22)</f>
        <v>1863094.588574006</v>
      </c>
      <c r="T25" s="241">
        <f>SUM(T16:T22)</f>
        <v>68610</v>
      </c>
      <c r="U25" s="757">
        <f>(S25/T25)+W25</f>
        <v>28.034854810873139</v>
      </c>
      <c r="V25" s="149"/>
      <c r="W25" s="182">
        <v>0.88</v>
      </c>
      <c r="X25" s="268" t="s">
        <v>711</v>
      </c>
      <c r="Y25" s="182"/>
      <c r="Z25" s="182"/>
      <c r="AA25" s="182"/>
      <c r="AB25" s="182"/>
    </row>
    <row r="26" spans="1:28" x14ac:dyDescent="0.25">
      <c r="J26" s="149"/>
      <c r="O26" s="149"/>
      <c r="V26" s="149"/>
    </row>
    <row r="27" spans="1:28" x14ac:dyDescent="0.25">
      <c r="A27" s="731" t="s">
        <v>712</v>
      </c>
      <c r="B27" s="731"/>
      <c r="C27" s="731"/>
      <c r="D27" s="731"/>
      <c r="E27" s="731"/>
      <c r="F27" s="731"/>
      <c r="G27" s="731"/>
      <c r="H27" s="731"/>
      <c r="I27" s="731"/>
      <c r="J27" s="731"/>
      <c r="K27" s="731"/>
      <c r="L27" s="731"/>
      <c r="M27" s="731"/>
      <c r="N27" s="731"/>
      <c r="O27" s="731"/>
      <c r="P27" s="731"/>
      <c r="Q27" s="731"/>
      <c r="R27" s="731"/>
      <c r="S27" s="731"/>
      <c r="T27" s="731"/>
      <c r="U27" s="731"/>
      <c r="V27" s="731"/>
      <c r="W27" s="731"/>
      <c r="X27" s="731"/>
      <c r="Y27" s="731"/>
      <c r="Z27" s="731"/>
    </row>
    <row r="28" spans="1:28" s="238" customFormat="1" ht="30" x14ac:dyDescent="0.25">
      <c r="A28" s="232" t="s">
        <v>661</v>
      </c>
      <c r="B28" s="232" t="s">
        <v>662</v>
      </c>
      <c r="C28" s="233" t="s">
        <v>663</v>
      </c>
      <c r="D28" s="233" t="s">
        <v>664</v>
      </c>
      <c r="E28" s="232" t="s">
        <v>678</v>
      </c>
      <c r="F28" s="232" t="s">
        <v>679</v>
      </c>
      <c r="G28" s="232" t="s">
        <v>680</v>
      </c>
      <c r="H28" s="232" t="s">
        <v>681</v>
      </c>
      <c r="I28" s="232" t="s">
        <v>682</v>
      </c>
      <c r="J28" s="232" t="s">
        <v>683</v>
      </c>
      <c r="K28" s="232" t="s">
        <v>684</v>
      </c>
      <c r="L28" s="234" t="s">
        <v>685</v>
      </c>
      <c r="M28" s="235" t="s">
        <v>686</v>
      </c>
      <c r="N28" s="235" t="s">
        <v>687</v>
      </c>
      <c r="O28" s="235" t="s">
        <v>687</v>
      </c>
      <c r="P28" s="235" t="s">
        <v>688</v>
      </c>
      <c r="Q28" s="235" t="s">
        <v>689</v>
      </c>
      <c r="R28" s="236"/>
      <c r="S28" s="232" t="s">
        <v>509</v>
      </c>
      <c r="T28" s="236" t="s">
        <v>690</v>
      </c>
      <c r="U28" s="232" t="s">
        <v>691</v>
      </c>
      <c r="V28" s="236" t="s">
        <v>692</v>
      </c>
      <c r="W28" s="236" t="s">
        <v>685</v>
      </c>
      <c r="X28" s="236" t="s">
        <v>693</v>
      </c>
      <c r="Y28" s="236"/>
      <c r="Z28" s="237" t="s">
        <v>694</v>
      </c>
    </row>
    <row r="29" spans="1:28" x14ac:dyDescent="0.25">
      <c r="A29" s="9" t="s">
        <v>673</v>
      </c>
      <c r="B29" s="9" t="s">
        <v>698</v>
      </c>
      <c r="C29" s="24">
        <v>92712.26</v>
      </c>
      <c r="D29" s="24">
        <v>34550.22</v>
      </c>
      <c r="E29" s="24">
        <f>C29*0.23</f>
        <v>21323.819800000001</v>
      </c>
      <c r="F29" s="24">
        <f>(U29/V29*30)*0.04</f>
        <v>2042.8232</v>
      </c>
      <c r="G29" s="24">
        <f>(C29+D29)*0.015+0.6</f>
        <v>1909.5371999999998</v>
      </c>
      <c r="H29" s="24">
        <v>19.03</v>
      </c>
      <c r="I29" s="24"/>
      <c r="J29" s="51">
        <f>C29+D29+E29+F29+G29+H29-I29</f>
        <v>152557.69020000001</v>
      </c>
      <c r="K29" s="51">
        <f>(C29+E29+F29+G29+H29-(0.0219*D29))/12</f>
        <v>9770.9016984999998</v>
      </c>
      <c r="L29" s="9"/>
      <c r="M29" s="9"/>
      <c r="N29" s="9"/>
      <c r="O29" s="40"/>
      <c r="P29" s="9"/>
      <c r="Q29" s="9"/>
      <c r="R29" s="9"/>
      <c r="S29" s="51">
        <f>J29+K29+L29</f>
        <v>162328.59189850002</v>
      </c>
      <c r="T29" s="9">
        <v>1</v>
      </c>
      <c r="U29" s="40">
        <v>51070.58</v>
      </c>
      <c r="V29" s="9">
        <v>30</v>
      </c>
      <c r="W29" s="9"/>
      <c r="X29" s="9"/>
      <c r="Y29" s="9">
        <f>V29+W29+X29</f>
        <v>30</v>
      </c>
      <c r="Z29" s="9"/>
    </row>
    <row r="30" spans="1:28" x14ac:dyDescent="0.25">
      <c r="A30" s="9" t="s">
        <v>673</v>
      </c>
      <c r="B30" s="9" t="s">
        <v>699</v>
      </c>
      <c r="C30" s="24">
        <v>91154.61</v>
      </c>
      <c r="D30" s="24">
        <v>43750.68</v>
      </c>
      <c r="E30" s="24">
        <f>C30*0.23</f>
        <v>20965.560300000001</v>
      </c>
      <c r="F30" s="24">
        <f>(U30/V30*30)*0.04</f>
        <v>2042.8232</v>
      </c>
      <c r="G30" s="24">
        <f>(C30+D30)*0.015+0.6</f>
        <v>2024.1793499999999</v>
      </c>
      <c r="H30" s="24">
        <v>19.03</v>
      </c>
      <c r="I30" s="24"/>
      <c r="J30" s="51">
        <f>C30+D30+E30+F30+G30+H30-I30</f>
        <v>159956.88285000002</v>
      </c>
      <c r="K30" s="51">
        <f>(C30+E30+F30+G30+H30-(0.0219*D30))/12</f>
        <v>9604.005246499999</v>
      </c>
      <c r="L30" s="9"/>
      <c r="M30" s="9"/>
      <c r="N30" s="9"/>
      <c r="O30" s="40"/>
      <c r="P30" s="9"/>
      <c r="Q30" s="9"/>
      <c r="R30" s="9"/>
      <c r="S30" s="51">
        <f>J30+K30+L30</f>
        <v>169560.88809650001</v>
      </c>
      <c r="T30" s="9">
        <v>1</v>
      </c>
      <c r="U30" s="40">
        <v>51070.58</v>
      </c>
      <c r="V30" s="9">
        <v>30</v>
      </c>
      <c r="W30" s="9"/>
      <c r="X30" s="9"/>
      <c r="Y30" s="9">
        <f>V30+W30+X30</f>
        <v>30</v>
      </c>
      <c r="Z30" s="9"/>
    </row>
    <row r="31" spans="1:28" x14ac:dyDescent="0.25">
      <c r="A31" s="9" t="s">
        <v>673</v>
      </c>
      <c r="B31" s="9" t="s">
        <v>700</v>
      </c>
      <c r="C31" s="24">
        <v>97878.1</v>
      </c>
      <c r="D31" s="24">
        <v>26758.080000000002</v>
      </c>
      <c r="E31" s="24">
        <f>C31*0.23</f>
        <v>22511.963000000003</v>
      </c>
      <c r="F31" s="24">
        <f>(U31/V31*30)*0.04</f>
        <v>2042.8232</v>
      </c>
      <c r="G31" s="24">
        <f>(C31+D31)*0.015+0.6</f>
        <v>1870.1426999999999</v>
      </c>
      <c r="H31" s="24">
        <v>19.03</v>
      </c>
      <c r="I31" s="24"/>
      <c r="J31" s="51">
        <f>C31+D31+E31+F31+G31+H31-I31</f>
        <v>151080.13890000002</v>
      </c>
      <c r="K31" s="51">
        <f>(C31+E31+F31+G31+H31-(0.0219*D31))/12</f>
        <v>10311.338078999999</v>
      </c>
      <c r="L31" s="9"/>
      <c r="M31" s="9"/>
      <c r="N31" s="9"/>
      <c r="O31" s="40"/>
      <c r="P31" s="9"/>
      <c r="Q31" s="9"/>
      <c r="R31" s="9"/>
      <c r="S31" s="51">
        <f>J31+K31+L31</f>
        <v>161391.47697900003</v>
      </c>
      <c r="T31" s="9">
        <v>1</v>
      </c>
      <c r="U31" s="40">
        <v>51070.58</v>
      </c>
      <c r="V31" s="9">
        <v>30</v>
      </c>
      <c r="W31" s="9"/>
      <c r="X31" s="9"/>
      <c r="Y31" s="9">
        <f>V31+W31+X31</f>
        <v>30</v>
      </c>
      <c r="Z31" s="9"/>
    </row>
    <row r="32" spans="1:28" ht="15.75" thickBot="1" x14ac:dyDescent="0.3">
      <c r="A32" s="9" t="s">
        <v>673</v>
      </c>
      <c r="B32" s="9" t="s">
        <v>701</v>
      </c>
      <c r="C32" s="24">
        <v>94633.79</v>
      </c>
      <c r="D32" s="24">
        <v>30983.040000000001</v>
      </c>
      <c r="E32" s="24">
        <f>C32*0.23</f>
        <v>21765.771700000001</v>
      </c>
      <c r="F32" s="24">
        <f>(U32/V32*30)*0.04</f>
        <v>2042.8232</v>
      </c>
      <c r="G32" s="24">
        <f>(C32+D32)*0.015+0.6</f>
        <v>1884.8524499999996</v>
      </c>
      <c r="H32" s="24">
        <v>19.03</v>
      </c>
      <c r="I32" s="24"/>
      <c r="J32" s="51">
        <f>C32+D32+E32+F32+G32+H32-I32</f>
        <v>151329.30735000002</v>
      </c>
      <c r="K32" s="51">
        <f>(C32+E32+F32+G32+H32-(0.0219*D32))/12</f>
        <v>9972.3115644999998</v>
      </c>
      <c r="L32" s="9"/>
      <c r="M32" s="9"/>
      <c r="N32" s="9"/>
      <c r="O32" s="40"/>
      <c r="P32" s="9"/>
      <c r="Q32" s="9"/>
      <c r="R32" s="9"/>
      <c r="S32" s="249">
        <f>J32+K32+L32</f>
        <v>161301.61891450002</v>
      </c>
      <c r="T32" s="9">
        <v>1</v>
      </c>
      <c r="U32" s="40">
        <v>51070.58</v>
      </c>
      <c r="V32" s="9">
        <v>30</v>
      </c>
      <c r="W32" s="9"/>
      <c r="X32" s="9"/>
      <c r="Y32" s="9">
        <f>V32+W32+X32</f>
        <v>30</v>
      </c>
      <c r="Z32" s="9"/>
    </row>
    <row r="33" spans="15:26" ht="15.75" thickBot="1" x14ac:dyDescent="0.3">
      <c r="O33" s="149"/>
      <c r="S33" s="250">
        <f>SUM(S29:S32)</f>
        <v>654582.57588850008</v>
      </c>
      <c r="V33" s="149"/>
    </row>
    <row r="34" spans="15:26" x14ac:dyDescent="0.25">
      <c r="O34" s="149"/>
      <c r="V34" s="149"/>
    </row>
    <row r="35" spans="15:26" x14ac:dyDescent="0.25">
      <c r="O35" s="149"/>
      <c r="V35" s="149"/>
    </row>
    <row r="36" spans="15:26" x14ac:dyDescent="0.25">
      <c r="O36" s="149"/>
      <c r="Q36" s="149"/>
      <c r="V36" s="149"/>
    </row>
    <row r="37" spans="15:26" x14ac:dyDescent="0.25">
      <c r="O37" s="149"/>
      <c r="Q37" s="149"/>
      <c r="V37" s="149"/>
    </row>
    <row r="38" spans="15:26" x14ac:dyDescent="0.25">
      <c r="O38" s="149"/>
      <c r="P38" s="729" t="s">
        <v>702</v>
      </c>
      <c r="Q38" s="729"/>
      <c r="R38" s="729"/>
      <c r="S38" s="730">
        <v>51</v>
      </c>
      <c r="T38" s="730"/>
      <c r="U38" s="730"/>
      <c r="V38" s="149"/>
      <c r="Z38" s="252">
        <f>+S38/$S$40</f>
        <v>0.30357142857142855</v>
      </c>
    </row>
    <row r="39" spans="15:26" x14ac:dyDescent="0.25">
      <c r="O39" s="149"/>
      <c r="P39" s="729" t="s">
        <v>703</v>
      </c>
      <c r="Q39" s="729"/>
      <c r="R39" s="729"/>
      <c r="S39" s="730">
        <v>117</v>
      </c>
      <c r="T39" s="730"/>
      <c r="U39" s="730"/>
      <c r="V39" s="149"/>
      <c r="Z39" s="253">
        <f>S39/$S$40</f>
        <v>0.6964285714285714</v>
      </c>
    </row>
    <row r="40" spans="15:26" x14ac:dyDescent="0.25">
      <c r="O40" s="149"/>
      <c r="P40" s="728" t="s">
        <v>704</v>
      </c>
      <c r="Q40" s="728"/>
      <c r="R40" s="728"/>
      <c r="S40" s="695">
        <f>SUM(S38:U39)</f>
        <v>168</v>
      </c>
      <c r="T40" s="695"/>
      <c r="U40" s="695"/>
      <c r="V40" s="149"/>
    </row>
    <row r="41" spans="15:26" x14ac:dyDescent="0.25">
      <c r="O41" s="149"/>
      <c r="V41" s="149"/>
    </row>
    <row r="42" spans="15:26" x14ac:dyDescent="0.25">
      <c r="O42" s="149"/>
      <c r="V42" s="149"/>
    </row>
    <row r="43" spans="15:26" x14ac:dyDescent="0.25">
      <c r="O43" s="149"/>
      <c r="V43" s="149"/>
    </row>
    <row r="44" spans="15:26" x14ac:dyDescent="0.25">
      <c r="O44" s="149"/>
      <c r="V44" s="149"/>
    </row>
  </sheetData>
  <mergeCells count="10">
    <mergeCell ref="P40:R40"/>
    <mergeCell ref="S40:U40"/>
    <mergeCell ref="P38:R38"/>
    <mergeCell ref="S38:U38"/>
    <mergeCell ref="A1:Z1"/>
    <mergeCell ref="H24:K24"/>
    <mergeCell ref="H25:K25"/>
    <mergeCell ref="A27:Z27"/>
    <mergeCell ref="P39:R39"/>
    <mergeCell ref="S39:U39"/>
  </mergeCells>
  <conditionalFormatting sqref="Z3:Z15">
    <cfRule type="cellIs" dxfId="0" priority="1" operator="greaterThan">
      <formula>40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V40"/>
  <sheetViews>
    <sheetView topLeftCell="A28" zoomScaleNormal="100" workbookViewId="0">
      <selection activeCell="D42" sqref="D42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28.28515625" style="2" bestFit="1" customWidth="1"/>
    <col min="8" max="8" width="20.140625" style="2" bestFit="1" customWidth="1"/>
    <col min="9" max="9" width="16.28515625" style="2" bestFit="1" customWidth="1"/>
    <col min="10" max="10" width="8.28515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22" x14ac:dyDescent="0.25">
      <c r="A1" s="627" t="s">
        <v>343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22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22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22" ht="25.5" customHeight="1" x14ac:dyDescent="0.25">
      <c r="A4" s="10">
        <v>44471</v>
      </c>
      <c r="B4" s="11">
        <v>2010624999</v>
      </c>
      <c r="C4" s="11" t="s">
        <v>0</v>
      </c>
      <c r="D4" s="20">
        <v>158021.10999999999</v>
      </c>
      <c r="E4" s="11" t="s">
        <v>115</v>
      </c>
      <c r="F4" s="11" t="s">
        <v>2</v>
      </c>
      <c r="G4" s="11" t="s">
        <v>3</v>
      </c>
      <c r="H4" s="11" t="s">
        <v>97</v>
      </c>
      <c r="I4" s="11" t="s">
        <v>116</v>
      </c>
      <c r="J4" s="11" t="s">
        <v>117</v>
      </c>
      <c r="K4" s="11" t="s">
        <v>118</v>
      </c>
      <c r="L4" s="11">
        <v>740</v>
      </c>
      <c r="M4" s="11">
        <v>38090</v>
      </c>
      <c r="N4" s="11" t="s">
        <v>8</v>
      </c>
      <c r="O4" s="637">
        <f>D4*30.7/100</f>
        <v>48512.480769999995</v>
      </c>
      <c r="P4" s="636">
        <f>O4/D4*100</f>
        <v>30.7</v>
      </c>
      <c r="Q4" s="630">
        <f>D4/(L4+L5)</f>
        <v>106.77102027027026</v>
      </c>
      <c r="T4" s="401"/>
      <c r="U4" s="402"/>
      <c r="V4" s="403"/>
    </row>
    <row r="5" spans="1:22" ht="25.5" customHeight="1" x14ac:dyDescent="0.25">
      <c r="A5" s="10">
        <v>44473</v>
      </c>
      <c r="B5" s="11">
        <v>2816835</v>
      </c>
      <c r="C5" s="11" t="s">
        <v>9</v>
      </c>
      <c r="D5" s="20">
        <v>0</v>
      </c>
      <c r="E5" s="11"/>
      <c r="F5" s="11" t="s">
        <v>3</v>
      </c>
      <c r="G5" s="11" t="s">
        <v>2</v>
      </c>
      <c r="H5" s="11" t="s">
        <v>97</v>
      </c>
      <c r="I5" s="11" t="s">
        <v>116</v>
      </c>
      <c r="J5" s="11" t="s">
        <v>117</v>
      </c>
      <c r="K5" s="11" t="s">
        <v>118</v>
      </c>
      <c r="L5" s="11">
        <v>740</v>
      </c>
      <c r="M5" s="11">
        <v>0</v>
      </c>
      <c r="N5" s="11" t="s">
        <v>10</v>
      </c>
      <c r="O5" s="638"/>
      <c r="P5" s="636"/>
      <c r="Q5" s="630"/>
      <c r="R5" s="142">
        <f>514/(L4+L5)*100</f>
        <v>34.729729729729733</v>
      </c>
      <c r="T5" s="401"/>
      <c r="U5" s="402"/>
      <c r="V5" s="403"/>
    </row>
    <row r="6" spans="1:22" ht="25.5" customHeight="1" x14ac:dyDescent="0.25">
      <c r="A6" s="16">
        <v>44474</v>
      </c>
      <c r="B6" s="17">
        <v>2010641948</v>
      </c>
      <c r="C6" s="17" t="s">
        <v>0</v>
      </c>
      <c r="D6" s="21">
        <v>158021.10999999999</v>
      </c>
      <c r="E6" s="17" t="s">
        <v>115</v>
      </c>
      <c r="F6" s="17" t="s">
        <v>2</v>
      </c>
      <c r="G6" s="17" t="s">
        <v>3</v>
      </c>
      <c r="H6" s="17" t="s">
        <v>97</v>
      </c>
      <c r="I6" s="17" t="s">
        <v>116</v>
      </c>
      <c r="J6" s="17" t="s">
        <v>117</v>
      </c>
      <c r="K6" s="17" t="s">
        <v>118</v>
      </c>
      <c r="L6" s="17">
        <v>740</v>
      </c>
      <c r="M6" s="17">
        <v>38040</v>
      </c>
      <c r="N6" s="17" t="s">
        <v>8</v>
      </c>
      <c r="O6" s="644">
        <f>D6*30.7/100</f>
        <v>48512.480769999995</v>
      </c>
      <c r="P6" s="643">
        <f>O6/D6*100</f>
        <v>30.7</v>
      </c>
      <c r="Q6" s="628">
        <f>D6/(L6+L7)</f>
        <v>106.77102027027026</v>
      </c>
      <c r="T6" s="401"/>
      <c r="U6" s="402"/>
      <c r="V6" s="403"/>
    </row>
    <row r="7" spans="1:22" ht="25.5" customHeight="1" x14ac:dyDescent="0.25">
      <c r="A7" s="16">
        <v>44476</v>
      </c>
      <c r="B7" s="17">
        <v>2816824</v>
      </c>
      <c r="C7" s="17" t="s">
        <v>9</v>
      </c>
      <c r="D7" s="21">
        <v>0</v>
      </c>
      <c r="E7" s="17"/>
      <c r="F7" s="17" t="s">
        <v>3</v>
      </c>
      <c r="G7" s="17" t="s">
        <v>2</v>
      </c>
      <c r="H7" s="17" t="s">
        <v>97</v>
      </c>
      <c r="I7" s="17" t="s">
        <v>116</v>
      </c>
      <c r="J7" s="17" t="s">
        <v>117</v>
      </c>
      <c r="K7" s="17" t="s">
        <v>118</v>
      </c>
      <c r="L7" s="17">
        <v>740</v>
      </c>
      <c r="M7" s="17">
        <v>0</v>
      </c>
      <c r="N7" s="17" t="s">
        <v>10</v>
      </c>
      <c r="O7" s="645"/>
      <c r="P7" s="643"/>
      <c r="Q7" s="628"/>
      <c r="R7" s="142">
        <f>(458+50.07)/(L6+L7)*100</f>
        <v>34.329054054054055</v>
      </c>
      <c r="T7" s="401"/>
      <c r="U7" s="402"/>
      <c r="V7" s="403"/>
    </row>
    <row r="8" spans="1:22" ht="25.5" customHeight="1" x14ac:dyDescent="0.25">
      <c r="A8" s="12">
        <v>44478</v>
      </c>
      <c r="B8" s="13">
        <v>2010645664</v>
      </c>
      <c r="C8" s="13" t="s">
        <v>0</v>
      </c>
      <c r="D8" s="22">
        <v>158021.10999999999</v>
      </c>
      <c r="E8" s="13" t="s">
        <v>115</v>
      </c>
      <c r="F8" s="13" t="s">
        <v>2</v>
      </c>
      <c r="G8" s="13" t="s">
        <v>3</v>
      </c>
      <c r="H8" s="13" t="s">
        <v>97</v>
      </c>
      <c r="I8" s="13" t="s">
        <v>116</v>
      </c>
      <c r="J8" s="13" t="s">
        <v>117</v>
      </c>
      <c r="K8" s="13" t="s">
        <v>118</v>
      </c>
      <c r="L8" s="13">
        <v>740</v>
      </c>
      <c r="M8" s="13">
        <v>37870</v>
      </c>
      <c r="N8" s="13" t="s">
        <v>8</v>
      </c>
      <c r="O8" s="640">
        <f>(D8+D9)*30.7/100</f>
        <v>51623.720079999992</v>
      </c>
      <c r="P8" s="639">
        <f>O8/(D8+D9)*100</f>
        <v>30.7</v>
      </c>
      <c r="Q8" s="634">
        <f>(D8+D9)/(L8+L9+L10)</f>
        <v>113.61854054054052</v>
      </c>
      <c r="T8" s="401"/>
      <c r="U8" s="402"/>
      <c r="V8" s="403"/>
    </row>
    <row r="9" spans="1:22" ht="25.5" customHeight="1" x14ac:dyDescent="0.25">
      <c r="A9" s="12">
        <v>44478</v>
      </c>
      <c r="B9" s="13" t="s">
        <v>119</v>
      </c>
      <c r="C9" s="13" t="s">
        <v>0</v>
      </c>
      <c r="D9" s="22">
        <v>10134.33</v>
      </c>
      <c r="E9" s="13" t="s">
        <v>103</v>
      </c>
      <c r="F9" s="13" t="s">
        <v>2</v>
      </c>
      <c r="G9" s="13" t="s">
        <v>3</v>
      </c>
      <c r="H9" s="13" t="s">
        <v>97</v>
      </c>
      <c r="I9" s="13" t="s">
        <v>116</v>
      </c>
      <c r="J9" s="13" t="s">
        <v>117</v>
      </c>
      <c r="K9" s="13" t="s">
        <v>118</v>
      </c>
      <c r="L9" s="13">
        <v>0</v>
      </c>
      <c r="M9" s="13">
        <v>0</v>
      </c>
      <c r="N9" s="13" t="s">
        <v>8</v>
      </c>
      <c r="O9" s="641"/>
      <c r="P9" s="639"/>
      <c r="Q9" s="634"/>
      <c r="T9" s="401"/>
      <c r="U9" s="402"/>
      <c r="V9" s="403"/>
    </row>
    <row r="10" spans="1:22" ht="25.5" customHeight="1" x14ac:dyDescent="0.25">
      <c r="A10" s="12">
        <v>44482</v>
      </c>
      <c r="B10" s="13">
        <v>2816795</v>
      </c>
      <c r="C10" s="13" t="s">
        <v>9</v>
      </c>
      <c r="D10" s="22">
        <v>0</v>
      </c>
      <c r="E10" s="13"/>
      <c r="F10" s="13" t="s">
        <v>3</v>
      </c>
      <c r="G10" s="13" t="s">
        <v>2</v>
      </c>
      <c r="H10" s="13" t="s">
        <v>97</v>
      </c>
      <c r="I10" s="13" t="s">
        <v>116</v>
      </c>
      <c r="J10" s="13" t="s">
        <v>117</v>
      </c>
      <c r="K10" s="13" t="s">
        <v>118</v>
      </c>
      <c r="L10" s="13">
        <v>740</v>
      </c>
      <c r="M10" s="13">
        <v>0</v>
      </c>
      <c r="N10" s="13" t="s">
        <v>10</v>
      </c>
      <c r="O10" s="642"/>
      <c r="P10" s="639"/>
      <c r="Q10" s="634"/>
      <c r="R10" s="142">
        <f>(458)/(L8+L10)*100</f>
        <v>30.945945945945947</v>
      </c>
      <c r="T10" s="401"/>
      <c r="U10" s="402"/>
      <c r="V10" s="403"/>
    </row>
    <row r="11" spans="1:22" ht="25.5" customHeight="1" x14ac:dyDescent="0.25">
      <c r="A11" s="14">
        <v>44483</v>
      </c>
      <c r="B11" s="15">
        <v>2010663437</v>
      </c>
      <c r="C11" s="15" t="s">
        <v>0</v>
      </c>
      <c r="D11" s="23">
        <v>158021.10999999999</v>
      </c>
      <c r="E11" s="15" t="s">
        <v>115</v>
      </c>
      <c r="F11" s="15" t="s">
        <v>2</v>
      </c>
      <c r="G11" s="15" t="s">
        <v>3</v>
      </c>
      <c r="H11" s="15" t="s">
        <v>97</v>
      </c>
      <c r="I11" s="15" t="s">
        <v>116</v>
      </c>
      <c r="J11" s="15" t="s">
        <v>117</v>
      </c>
      <c r="K11" s="15" t="s">
        <v>118</v>
      </c>
      <c r="L11" s="15">
        <v>740</v>
      </c>
      <c r="M11" s="15">
        <v>38190</v>
      </c>
      <c r="N11" s="15" t="s">
        <v>8</v>
      </c>
      <c r="O11" s="647">
        <f>D11*30.7/100</f>
        <v>48512.480769999995</v>
      </c>
      <c r="P11" s="646">
        <f>O11/D11*100</f>
        <v>30.7</v>
      </c>
      <c r="Q11" s="632">
        <f>D11/(L11+L12)</f>
        <v>106.77102027027026</v>
      </c>
      <c r="T11" s="401"/>
      <c r="U11" s="402"/>
      <c r="V11" s="403"/>
    </row>
    <row r="12" spans="1:22" ht="25.5" customHeight="1" x14ac:dyDescent="0.25">
      <c r="A12" s="14">
        <v>44484</v>
      </c>
      <c r="B12" s="15">
        <v>2816778</v>
      </c>
      <c r="C12" s="15" t="s">
        <v>9</v>
      </c>
      <c r="D12" s="23">
        <v>0</v>
      </c>
      <c r="E12" s="15"/>
      <c r="F12" s="15" t="s">
        <v>3</v>
      </c>
      <c r="G12" s="15" t="s">
        <v>2</v>
      </c>
      <c r="H12" s="15" t="s">
        <v>97</v>
      </c>
      <c r="I12" s="15" t="s">
        <v>116</v>
      </c>
      <c r="J12" s="15" t="s">
        <v>117</v>
      </c>
      <c r="K12" s="15" t="s">
        <v>118</v>
      </c>
      <c r="L12" s="15">
        <v>740</v>
      </c>
      <c r="M12" s="15">
        <v>0</v>
      </c>
      <c r="N12" s="15" t="s">
        <v>10</v>
      </c>
      <c r="O12" s="648"/>
      <c r="P12" s="646"/>
      <c r="Q12" s="632"/>
      <c r="R12" s="142">
        <f>(493+50)/(L11+L12)*100</f>
        <v>36.689189189189193</v>
      </c>
      <c r="T12" s="401"/>
      <c r="U12" s="402"/>
      <c r="V12" s="403"/>
    </row>
    <row r="13" spans="1:22" ht="25.5" customHeight="1" x14ac:dyDescent="0.25">
      <c r="A13" s="10">
        <v>44486</v>
      </c>
      <c r="B13" s="11">
        <v>2010690375</v>
      </c>
      <c r="C13" s="11" t="s">
        <v>0</v>
      </c>
      <c r="D13" s="20">
        <v>158021.10999999999</v>
      </c>
      <c r="E13" s="11" t="s">
        <v>115</v>
      </c>
      <c r="F13" s="11" t="s">
        <v>2</v>
      </c>
      <c r="G13" s="11" t="s">
        <v>3</v>
      </c>
      <c r="H13" s="11" t="s">
        <v>97</v>
      </c>
      <c r="I13" s="11" t="s">
        <v>116</v>
      </c>
      <c r="J13" s="11" t="s">
        <v>117</v>
      </c>
      <c r="K13" s="11" t="s">
        <v>118</v>
      </c>
      <c r="L13" s="11">
        <v>740</v>
      </c>
      <c r="M13" s="11">
        <v>38520</v>
      </c>
      <c r="N13" s="11" t="s">
        <v>8</v>
      </c>
      <c r="O13" s="637">
        <f>D13*30.7/100</f>
        <v>48512.480769999995</v>
      </c>
      <c r="P13" s="636">
        <f>O13/D13*100</f>
        <v>30.7</v>
      </c>
      <c r="Q13" s="630">
        <f>D13/(L13+L14)</f>
        <v>106.77102027027026</v>
      </c>
      <c r="T13" s="395"/>
      <c r="U13" s="396"/>
      <c r="V13" s="397"/>
    </row>
    <row r="14" spans="1:22" ht="25.5" customHeight="1" x14ac:dyDescent="0.25">
      <c r="A14" s="10">
        <v>44488</v>
      </c>
      <c r="B14" s="11">
        <v>2816760</v>
      </c>
      <c r="C14" s="11" t="s">
        <v>9</v>
      </c>
      <c r="D14" s="20">
        <v>0</v>
      </c>
      <c r="E14" s="11"/>
      <c r="F14" s="11" t="s">
        <v>3</v>
      </c>
      <c r="G14" s="11" t="s">
        <v>2</v>
      </c>
      <c r="H14" s="11" t="s">
        <v>97</v>
      </c>
      <c r="I14" s="11" t="s">
        <v>116</v>
      </c>
      <c r="J14" s="11" t="s">
        <v>117</v>
      </c>
      <c r="K14" s="11" t="s">
        <v>118</v>
      </c>
      <c r="L14" s="11">
        <v>740</v>
      </c>
      <c r="M14" s="11">
        <v>0</v>
      </c>
      <c r="N14" s="11" t="s">
        <v>10</v>
      </c>
      <c r="O14" s="638"/>
      <c r="P14" s="636"/>
      <c r="Q14" s="630"/>
      <c r="R14" s="142">
        <f>473/(L13+L14)*100</f>
        <v>31.95945945945946</v>
      </c>
      <c r="T14" s="404"/>
      <c r="U14" s="405"/>
      <c r="V14" s="406"/>
    </row>
    <row r="15" spans="1:22" ht="25.5" customHeight="1" x14ac:dyDescent="0.25">
      <c r="A15" s="16">
        <v>44489</v>
      </c>
      <c r="B15" s="17">
        <v>2010708281</v>
      </c>
      <c r="C15" s="17" t="s">
        <v>0</v>
      </c>
      <c r="D15" s="21">
        <v>158021.10999999999</v>
      </c>
      <c r="E15" s="17" t="s">
        <v>115</v>
      </c>
      <c r="F15" s="17" t="s">
        <v>2</v>
      </c>
      <c r="G15" s="17" t="s">
        <v>3</v>
      </c>
      <c r="H15" s="17" t="s">
        <v>97</v>
      </c>
      <c r="I15" s="17" t="s">
        <v>116</v>
      </c>
      <c r="J15" s="17" t="s">
        <v>117</v>
      </c>
      <c r="K15" s="17" t="s">
        <v>118</v>
      </c>
      <c r="L15" s="17">
        <v>740</v>
      </c>
      <c r="M15" s="17">
        <v>38590</v>
      </c>
      <c r="N15" s="17" t="s">
        <v>8</v>
      </c>
      <c r="O15" s="644">
        <f>D15*30.7/100</f>
        <v>48512.480769999995</v>
      </c>
      <c r="P15" s="643">
        <f>O15/D15*100</f>
        <v>30.7</v>
      </c>
      <c r="Q15" s="628">
        <f>D15/(L15+L16)</f>
        <v>106.77102027027026</v>
      </c>
      <c r="T15" s="404"/>
      <c r="U15" s="405"/>
      <c r="V15" s="406"/>
    </row>
    <row r="16" spans="1:22" ht="25.5" customHeight="1" x14ac:dyDescent="0.25">
      <c r="A16" s="16">
        <v>44490</v>
      </c>
      <c r="B16" s="17">
        <v>2816745</v>
      </c>
      <c r="C16" s="17" t="s">
        <v>9</v>
      </c>
      <c r="D16" s="21">
        <v>0</v>
      </c>
      <c r="E16" s="17"/>
      <c r="F16" s="17" t="s">
        <v>3</v>
      </c>
      <c r="G16" s="17" t="s">
        <v>2</v>
      </c>
      <c r="H16" s="17" t="s">
        <v>97</v>
      </c>
      <c r="I16" s="17" t="s">
        <v>116</v>
      </c>
      <c r="J16" s="17" t="s">
        <v>117</v>
      </c>
      <c r="K16" s="17" t="s">
        <v>118</v>
      </c>
      <c r="L16" s="17">
        <v>740</v>
      </c>
      <c r="M16" s="17">
        <v>0</v>
      </c>
      <c r="N16" s="17" t="s">
        <v>10</v>
      </c>
      <c r="O16" s="645"/>
      <c r="P16" s="643"/>
      <c r="Q16" s="628"/>
      <c r="R16" s="142">
        <f>489/(L15+L16)*100</f>
        <v>33.04054054054054</v>
      </c>
      <c r="T16" s="404"/>
      <c r="U16" s="405"/>
      <c r="V16" s="406"/>
    </row>
    <row r="17" spans="1:22" ht="25.5" customHeight="1" x14ac:dyDescent="0.25">
      <c r="A17" s="12">
        <v>44492</v>
      </c>
      <c r="B17" s="13">
        <v>2010715417</v>
      </c>
      <c r="C17" s="13" t="s">
        <v>0</v>
      </c>
      <c r="D17" s="22">
        <v>158021.10999999999</v>
      </c>
      <c r="E17" s="13" t="s">
        <v>120</v>
      </c>
      <c r="F17" s="13" t="s">
        <v>2</v>
      </c>
      <c r="G17" s="13" t="s">
        <v>3</v>
      </c>
      <c r="H17" s="13" t="s">
        <v>97</v>
      </c>
      <c r="I17" s="13" t="s">
        <v>116</v>
      </c>
      <c r="J17" s="13" t="s">
        <v>117</v>
      </c>
      <c r="K17" s="13" t="s">
        <v>118</v>
      </c>
      <c r="L17" s="13">
        <v>740</v>
      </c>
      <c r="M17" s="13">
        <v>37940</v>
      </c>
      <c r="N17" s="13" t="s">
        <v>8</v>
      </c>
      <c r="O17" s="640">
        <f>D17*30.7/100</f>
        <v>48512.480769999995</v>
      </c>
      <c r="P17" s="639">
        <f>O17/D17*100</f>
        <v>30.7</v>
      </c>
      <c r="Q17" s="634">
        <f>D17/(L17+L18)</f>
        <v>106.77102027027026</v>
      </c>
      <c r="T17" s="404"/>
      <c r="U17" s="405"/>
      <c r="V17" s="406"/>
    </row>
    <row r="18" spans="1:22" ht="25.5" customHeight="1" x14ac:dyDescent="0.25">
      <c r="A18" s="12">
        <v>44494</v>
      </c>
      <c r="B18" s="13">
        <v>2816725</v>
      </c>
      <c r="C18" s="13" t="s">
        <v>9</v>
      </c>
      <c r="D18" s="22">
        <v>0</v>
      </c>
      <c r="E18" s="13"/>
      <c r="F18" s="13" t="s">
        <v>3</v>
      </c>
      <c r="G18" s="13" t="s">
        <v>2</v>
      </c>
      <c r="H18" s="13" t="s">
        <v>97</v>
      </c>
      <c r="I18" s="13" t="s">
        <v>116</v>
      </c>
      <c r="J18" s="13" t="s">
        <v>117</v>
      </c>
      <c r="K18" s="13" t="s">
        <v>118</v>
      </c>
      <c r="L18" s="13">
        <v>740</v>
      </c>
      <c r="M18" s="13">
        <v>0</v>
      </c>
      <c r="N18" s="13" t="s">
        <v>10</v>
      </c>
      <c r="O18" s="642"/>
      <c r="P18" s="639"/>
      <c r="Q18" s="634"/>
      <c r="R18" s="142">
        <f>(437)/(L17+L18)*100</f>
        <v>29.527027027027025</v>
      </c>
      <c r="T18" s="104"/>
      <c r="U18" s="104"/>
      <c r="V18" s="403"/>
    </row>
    <row r="19" spans="1:22" ht="25.5" customHeight="1" x14ac:dyDescent="0.25">
      <c r="A19" s="14">
        <v>44496</v>
      </c>
      <c r="B19" s="15" t="s">
        <v>121</v>
      </c>
      <c r="C19" s="15" t="s">
        <v>0</v>
      </c>
      <c r="D19" s="23">
        <v>158021.10999999999</v>
      </c>
      <c r="E19" s="15" t="s">
        <v>120</v>
      </c>
      <c r="F19" s="15" t="s">
        <v>2</v>
      </c>
      <c r="G19" s="15" t="s">
        <v>3</v>
      </c>
      <c r="H19" s="15" t="s">
        <v>97</v>
      </c>
      <c r="I19" s="15" t="s">
        <v>116</v>
      </c>
      <c r="J19" s="15" t="s">
        <v>117</v>
      </c>
      <c r="K19" s="15" t="s">
        <v>118</v>
      </c>
      <c r="L19" s="15">
        <v>740</v>
      </c>
      <c r="M19" s="15">
        <v>37820</v>
      </c>
      <c r="N19" s="15" t="s">
        <v>8</v>
      </c>
      <c r="O19" s="647">
        <f>D19*30.7/100</f>
        <v>48512.480769999995</v>
      </c>
      <c r="P19" s="646">
        <f>O19/D19*100</f>
        <v>30.7</v>
      </c>
      <c r="Q19" s="632">
        <f>D19/(L19+L20)</f>
        <v>106.77102027027026</v>
      </c>
    </row>
    <row r="20" spans="1:22" ht="25.5" customHeight="1" x14ac:dyDescent="0.25">
      <c r="A20" s="14">
        <v>44497</v>
      </c>
      <c r="B20" s="15">
        <v>2816707</v>
      </c>
      <c r="C20" s="15" t="s">
        <v>9</v>
      </c>
      <c r="D20" s="23">
        <v>0</v>
      </c>
      <c r="E20" s="15"/>
      <c r="F20" s="15" t="s">
        <v>3</v>
      </c>
      <c r="G20" s="15" t="s">
        <v>2</v>
      </c>
      <c r="H20" s="15" t="s">
        <v>97</v>
      </c>
      <c r="I20" s="15" t="s">
        <v>116</v>
      </c>
      <c r="J20" s="15" t="s">
        <v>117</v>
      </c>
      <c r="K20" s="15" t="s">
        <v>118</v>
      </c>
      <c r="L20" s="15">
        <v>740</v>
      </c>
      <c r="M20" s="15">
        <v>0</v>
      </c>
      <c r="N20" s="15" t="s">
        <v>10</v>
      </c>
      <c r="O20" s="648"/>
      <c r="P20" s="646"/>
      <c r="Q20" s="632"/>
      <c r="R20" s="142">
        <f>(451.19+50.01)/(L19+L20)*100</f>
        <v>33.864864864864863</v>
      </c>
    </row>
    <row r="21" spans="1:22" ht="25.5" customHeight="1" x14ac:dyDescent="0.25">
      <c r="A21" s="10">
        <v>44499</v>
      </c>
      <c r="B21" s="11">
        <v>2010715479</v>
      </c>
      <c r="C21" s="11" t="s">
        <v>0</v>
      </c>
      <c r="D21" s="20">
        <v>158021.10999999999</v>
      </c>
      <c r="E21" s="11" t="s">
        <v>120</v>
      </c>
      <c r="F21" s="11" t="s">
        <v>2</v>
      </c>
      <c r="G21" s="11" t="s">
        <v>3</v>
      </c>
      <c r="H21" s="11" t="s">
        <v>97</v>
      </c>
      <c r="I21" s="11" t="s">
        <v>116</v>
      </c>
      <c r="J21" s="11" t="s">
        <v>117</v>
      </c>
      <c r="K21" s="11" t="s">
        <v>118</v>
      </c>
      <c r="L21" s="11">
        <v>740</v>
      </c>
      <c r="M21" s="11">
        <v>37860</v>
      </c>
      <c r="N21" s="11" t="s">
        <v>8</v>
      </c>
      <c r="O21" s="637">
        <f>D21*30.7/100</f>
        <v>48512.480769999995</v>
      </c>
      <c r="P21" s="636">
        <f>O21/D21*100</f>
        <v>30.7</v>
      </c>
      <c r="Q21" s="630">
        <f>D21/(L21+L22)</f>
        <v>104.58048312375909</v>
      </c>
    </row>
    <row r="22" spans="1:22" ht="25.5" customHeight="1" x14ac:dyDescent="0.25">
      <c r="A22" s="54">
        <v>44500</v>
      </c>
      <c r="B22" s="55">
        <v>2816692</v>
      </c>
      <c r="C22" s="55" t="s">
        <v>9</v>
      </c>
      <c r="D22" s="56">
        <v>0</v>
      </c>
      <c r="E22" s="55"/>
      <c r="F22" s="55" t="s">
        <v>3</v>
      </c>
      <c r="G22" s="55" t="s">
        <v>2</v>
      </c>
      <c r="H22" s="55" t="s">
        <v>97</v>
      </c>
      <c r="I22" s="55" t="s">
        <v>116</v>
      </c>
      <c r="J22" s="55" t="s">
        <v>117</v>
      </c>
      <c r="K22" s="55" t="s">
        <v>118</v>
      </c>
      <c r="L22" s="55">
        <v>771</v>
      </c>
      <c r="M22" s="55">
        <v>0</v>
      </c>
      <c r="N22" s="55" t="s">
        <v>10</v>
      </c>
      <c r="O22" s="638"/>
      <c r="P22" s="636"/>
      <c r="Q22" s="630"/>
      <c r="R22" s="142">
        <f>(300+179)/(L21+L22)*100</f>
        <v>31.700860357379216</v>
      </c>
    </row>
    <row r="23" spans="1:22" x14ac:dyDescent="0.25">
      <c r="A23" s="9"/>
      <c r="B23" s="9"/>
      <c r="C23" s="9"/>
      <c r="D23" s="18">
        <f>SUM(D4:D22)</f>
        <v>1432324.3199999998</v>
      </c>
      <c r="E23" s="9"/>
      <c r="F23" s="9"/>
      <c r="G23" s="9"/>
      <c r="H23" s="9"/>
      <c r="I23" s="9"/>
      <c r="J23" s="9"/>
      <c r="K23" s="9"/>
      <c r="L23" s="9">
        <f>SUM(L4:L22)</f>
        <v>13351</v>
      </c>
      <c r="M23" s="9"/>
      <c r="N23" s="9"/>
      <c r="O23" s="24">
        <f>SUM(O4:O22)</f>
        <v>439723.56624000007</v>
      </c>
      <c r="P23" s="28">
        <f>O23/D23*100</f>
        <v>30.70000000000001</v>
      </c>
      <c r="Q23" s="26">
        <f>D23/L23</f>
        <v>107.28217511796868</v>
      </c>
    </row>
    <row r="25" spans="1:22" ht="15" customHeight="1" x14ac:dyDescent="0.25">
      <c r="A25" s="36" t="s">
        <v>322</v>
      </c>
      <c r="B25" s="36" t="s">
        <v>323</v>
      </c>
      <c r="C25" s="36" t="s">
        <v>324</v>
      </c>
      <c r="D25" s="36" t="s">
        <v>325</v>
      </c>
      <c r="F25" s="37" t="s">
        <v>326</v>
      </c>
      <c r="G25" s="37" t="s">
        <v>327</v>
      </c>
      <c r="H25" s="37" t="s">
        <v>328</v>
      </c>
      <c r="I25" s="38"/>
    </row>
    <row r="26" spans="1:22" x14ac:dyDescent="0.25">
      <c r="A26" s="39">
        <f>D23/L23</f>
        <v>107.28217511796868</v>
      </c>
      <c r="B26" s="40">
        <f>COMBUSTIBLE!C34</f>
        <v>4851.2712000000001</v>
      </c>
      <c r="C26" s="41">
        <f>B26/L23*100</f>
        <v>36.336388285521686</v>
      </c>
      <c r="D26" s="42">
        <f>B32/B26</f>
        <v>67.674813948923912</v>
      </c>
      <c r="F26" s="43">
        <f>+B32/D23</f>
        <v>0.2292140622703194</v>
      </c>
      <c r="G26" s="43">
        <f>B37/D23</f>
        <v>0.26131885171088021</v>
      </c>
      <c r="H26" s="44"/>
      <c r="I26" s="38"/>
    </row>
    <row r="27" spans="1:22" x14ac:dyDescent="0.25">
      <c r="C27" s="2" t="s">
        <v>1221</v>
      </c>
      <c r="F27" s="38"/>
      <c r="G27" s="38"/>
      <c r="H27" s="38"/>
      <c r="I27" s="38"/>
    </row>
    <row r="28" spans="1:22" x14ac:dyDescent="0.25">
      <c r="A28" s="36"/>
      <c r="B28" s="36" t="s">
        <v>329</v>
      </c>
      <c r="C28" s="36" t="s">
        <v>330</v>
      </c>
      <c r="D28" s="36" t="s">
        <v>118</v>
      </c>
      <c r="K28" s="25"/>
      <c r="L28" s="29"/>
      <c r="M28" s="25"/>
      <c r="O28" s="2"/>
      <c r="P28" s="2"/>
      <c r="Q28" s="2"/>
    </row>
    <row r="29" spans="1:22" x14ac:dyDescent="0.25">
      <c r="A29" s="7" t="s">
        <v>331</v>
      </c>
      <c r="B29" s="24">
        <f>D23</f>
        <v>1432324.3199999998</v>
      </c>
      <c r="C29" s="45">
        <f>B30</f>
        <v>439723.56624000007</v>
      </c>
      <c r="D29" s="46">
        <f>C29/B29</f>
        <v>0.30700000000000011</v>
      </c>
      <c r="K29" s="25"/>
      <c r="L29" s="29"/>
      <c r="M29" s="25"/>
      <c r="O29" s="2"/>
      <c r="P29" s="2"/>
      <c r="Q29" s="2"/>
    </row>
    <row r="30" spans="1:22" x14ac:dyDescent="0.25">
      <c r="A30" s="47" t="s">
        <v>27</v>
      </c>
      <c r="B30" s="24">
        <f>O23</f>
        <v>439723.56624000007</v>
      </c>
      <c r="C30" s="9"/>
    </row>
    <row r="31" spans="1:22" x14ac:dyDescent="0.25">
      <c r="A31" s="48" t="s">
        <v>332</v>
      </c>
      <c r="B31" s="49">
        <f>(10*(78578.313+12454.55))/(150000+80000)*L23</f>
        <v>52842.597996217395</v>
      </c>
      <c r="C31" s="49">
        <f>(12*(78578.313+12454.55))/(150000+80000)*L23</f>
        <v>63411.11759546087</v>
      </c>
    </row>
    <row r="32" spans="1:22" x14ac:dyDescent="0.25">
      <c r="A32" s="48" t="s">
        <v>333</v>
      </c>
      <c r="B32" s="24">
        <f>COMBUSTIBLE!J34</f>
        <v>328308.87587577285</v>
      </c>
      <c r="C32" s="9"/>
    </row>
    <row r="33" spans="1:4" x14ac:dyDescent="0.25">
      <c r="A33" s="48" t="s">
        <v>334</v>
      </c>
      <c r="B33" s="24"/>
      <c r="C33" s="9"/>
    </row>
    <row r="34" spans="1:4" x14ac:dyDescent="0.25">
      <c r="A34" s="48" t="s">
        <v>335</v>
      </c>
      <c r="B34" s="24">
        <f>'PATENTE PROVINCIAL'!N11</f>
        <v>3048.8</v>
      </c>
      <c r="C34" s="42"/>
    </row>
    <row r="35" spans="1:4" x14ac:dyDescent="0.25">
      <c r="A35" s="48" t="s">
        <v>336</v>
      </c>
      <c r="B35" s="24">
        <f>'PATENTE MUNICIPAL'!I11</f>
        <v>4265.7333333333336</v>
      </c>
      <c r="C35" s="42"/>
    </row>
    <row r="36" spans="1:4" x14ac:dyDescent="0.25">
      <c r="A36" s="48" t="s">
        <v>337</v>
      </c>
      <c r="B36" s="24">
        <f>SEGURO!K11</f>
        <v>9793.872510436433</v>
      </c>
      <c r="C36" s="42">
        <f>SEGURO!K22</f>
        <v>210.03783301707779</v>
      </c>
    </row>
    <row r="37" spans="1:4" x14ac:dyDescent="0.25">
      <c r="A37" s="48" t="s">
        <v>338</v>
      </c>
      <c r="B37" s="24">
        <f>L23*SUELDOS!U25</f>
        <v>374293.3465799673</v>
      </c>
      <c r="C37" s="42"/>
      <c r="D37" s="50">
        <f>B37/L23</f>
        <v>28.034854810873142</v>
      </c>
    </row>
    <row r="38" spans="1:4" x14ac:dyDescent="0.25">
      <c r="A38" s="48" t="s">
        <v>339</v>
      </c>
      <c r="B38" s="24">
        <f>'GASTOS TRACTOR'!H65</f>
        <v>33731.55780000001</v>
      </c>
      <c r="C38" s="42">
        <f>'GASTOS SEMI'!H37</f>
        <v>1441.02</v>
      </c>
    </row>
    <row r="39" spans="1:4" x14ac:dyDescent="0.25">
      <c r="A39" s="48" t="s">
        <v>340</v>
      </c>
      <c r="B39" s="24">
        <f>SUM(B31:B38)</f>
        <v>806284.78409572737</v>
      </c>
      <c r="C39" s="51">
        <f>SUM(C31:C38)</f>
        <v>65062.175428477945</v>
      </c>
    </row>
    <row r="40" spans="1:4" x14ac:dyDescent="0.25">
      <c r="A40" s="36" t="s">
        <v>341</v>
      </c>
      <c r="B40" s="52">
        <f>B29-B30-B39</f>
        <v>186315.96966427239</v>
      </c>
      <c r="C40" s="53">
        <f>C29-C30-C39</f>
        <v>374661.39081152214</v>
      </c>
      <c r="D40" s="52">
        <f>+B40+C40</f>
        <v>560977.36047579453</v>
      </c>
    </row>
  </sheetData>
  <sortState xmlns:xlrd2="http://schemas.microsoft.com/office/spreadsheetml/2017/richdata2" ref="A2:P21">
    <sortCondition ref="A1"/>
  </sortState>
  <mergeCells count="28">
    <mergeCell ref="Q21:Q22"/>
    <mergeCell ref="P21:P22"/>
    <mergeCell ref="O21:O22"/>
    <mergeCell ref="Q19:Q20"/>
    <mergeCell ref="P19:P20"/>
    <mergeCell ref="O19:O20"/>
    <mergeCell ref="Q17:Q18"/>
    <mergeCell ref="P17:P18"/>
    <mergeCell ref="O17:O18"/>
    <mergeCell ref="Q15:Q16"/>
    <mergeCell ref="P15:P16"/>
    <mergeCell ref="O15:O16"/>
    <mergeCell ref="Q13:Q14"/>
    <mergeCell ref="P13:P14"/>
    <mergeCell ref="O13:O14"/>
    <mergeCell ref="Q11:Q12"/>
    <mergeCell ref="P11:P12"/>
    <mergeCell ref="O11:O12"/>
    <mergeCell ref="Q4:Q5"/>
    <mergeCell ref="P4:P5"/>
    <mergeCell ref="O4:O5"/>
    <mergeCell ref="A1:Q2"/>
    <mergeCell ref="Q8:Q10"/>
    <mergeCell ref="P8:P10"/>
    <mergeCell ref="O8:O10"/>
    <mergeCell ref="Q6:Q7"/>
    <mergeCell ref="P6:P7"/>
    <mergeCell ref="O6:O7"/>
  </mergeCells>
  <conditionalFormatting sqref="C26">
    <cfRule type="cellIs" dxfId="95" priority="1" operator="lessThan">
      <formula>29</formula>
    </cfRule>
    <cfRule type="cellIs" dxfId="94" priority="2" operator="greaterThan">
      <formula>38</formula>
    </cfRule>
    <cfRule type="cellIs" dxfId="93" priority="3" operator="lessThan">
      <formula>38</formula>
    </cfRule>
    <cfRule type="cellIs" dxfId="92" priority="4" operator="lessThan">
      <formula>38</formula>
    </cfRule>
    <cfRule type="cellIs" dxfId="91" priority="5" operator="greaterThan">
      <formula>40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002060"/>
  </sheetPr>
  <dimension ref="A1:E36"/>
  <sheetViews>
    <sheetView topLeftCell="A19" workbookViewId="0">
      <selection activeCell="B5" sqref="B5:B11"/>
    </sheetView>
  </sheetViews>
  <sheetFormatPr baseColWidth="10" defaultRowHeight="15" x14ac:dyDescent="0.25"/>
  <cols>
    <col min="1" max="1" width="23.28515625" bestFit="1" customWidth="1"/>
    <col min="2" max="2" width="13" bestFit="1" customWidth="1"/>
    <col min="3" max="3" width="12.5703125" bestFit="1" customWidth="1"/>
    <col min="4" max="4" width="14.7109375" bestFit="1" customWidth="1"/>
  </cols>
  <sheetData>
    <row r="1" spans="1:2" x14ac:dyDescent="0.25">
      <c r="A1" s="734" t="s">
        <v>705</v>
      </c>
      <c r="B1" s="735"/>
    </row>
    <row r="2" spans="1:2" ht="15.75" thickBot="1" x14ac:dyDescent="0.3">
      <c r="A2" s="736"/>
      <c r="B2" s="737"/>
    </row>
    <row r="3" spans="1:2" ht="15.75" thickBot="1" x14ac:dyDescent="0.3">
      <c r="A3" s="2"/>
      <c r="B3" s="2"/>
    </row>
    <row r="4" spans="1:2" ht="15.75" thickBot="1" x14ac:dyDescent="0.3">
      <c r="A4" s="254" t="s">
        <v>506</v>
      </c>
      <c r="B4" s="254" t="s">
        <v>706</v>
      </c>
    </row>
    <row r="5" spans="1:2" x14ac:dyDescent="0.25">
      <c r="A5" s="4" t="s">
        <v>99</v>
      </c>
      <c r="B5" s="255">
        <f>AC121PH_VIAR!L16</f>
        <v>8656</v>
      </c>
    </row>
    <row r="6" spans="1:2" x14ac:dyDescent="0.25">
      <c r="A6" s="9" t="s">
        <v>105</v>
      </c>
      <c r="B6" s="255">
        <f>AC121PI_VIAR!L19</f>
        <v>8076</v>
      </c>
    </row>
    <row r="7" spans="1:2" x14ac:dyDescent="0.25">
      <c r="A7" s="9" t="s">
        <v>117</v>
      </c>
      <c r="B7" s="255">
        <f>AC121PJ_VIAR!L23</f>
        <v>13351</v>
      </c>
    </row>
    <row r="8" spans="1:2" x14ac:dyDescent="0.25">
      <c r="A8" s="9" t="s">
        <v>123</v>
      </c>
      <c r="B8" s="255">
        <f>AC121PK_VIAR!L23</f>
        <v>13320</v>
      </c>
    </row>
    <row r="9" spans="1:2" x14ac:dyDescent="0.25">
      <c r="A9" s="9" t="s">
        <v>141</v>
      </c>
      <c r="B9" s="255">
        <f>AD414GY_VIAR!L25</f>
        <v>12988</v>
      </c>
    </row>
    <row r="10" spans="1:2" x14ac:dyDescent="0.25">
      <c r="A10" s="9" t="s">
        <v>231</v>
      </c>
      <c r="B10" s="255">
        <f>JZP219_VIAR!L20</f>
        <v>11096</v>
      </c>
    </row>
    <row r="11" spans="1:2" x14ac:dyDescent="0.25">
      <c r="A11" s="9" t="s">
        <v>282</v>
      </c>
      <c r="B11" s="255">
        <f>KWO766_VIAR!L9</f>
        <v>3700</v>
      </c>
    </row>
    <row r="12" spans="1:2" x14ac:dyDescent="0.25">
      <c r="A12" s="115" t="s">
        <v>264</v>
      </c>
      <c r="B12" s="255">
        <f>KOE220_BALDASSARRE!L25</f>
        <v>13176</v>
      </c>
    </row>
    <row r="13" spans="1:2" x14ac:dyDescent="0.25">
      <c r="A13" s="115" t="s">
        <v>273</v>
      </c>
      <c r="B13" s="255">
        <f>KSL959_BALDASSARRE!L24</f>
        <v>11656</v>
      </c>
    </row>
    <row r="14" spans="1:2" x14ac:dyDescent="0.25">
      <c r="A14" s="115" t="s">
        <v>54</v>
      </c>
      <c r="B14" s="255">
        <f>AA996WC_CASTILLO!L24</f>
        <v>13640</v>
      </c>
    </row>
    <row r="15" spans="1:2" x14ac:dyDescent="0.25">
      <c r="A15" s="115" t="s">
        <v>154</v>
      </c>
      <c r="B15" s="255">
        <f>AD864HO_FERREYRA!L21</f>
        <v>9702</v>
      </c>
    </row>
    <row r="16" spans="1:2" x14ac:dyDescent="0.25">
      <c r="A16" s="115" t="s">
        <v>133</v>
      </c>
      <c r="B16" s="255">
        <f>AC377BI_GODOY!L22</f>
        <v>10972</v>
      </c>
    </row>
    <row r="17" spans="1:5" x14ac:dyDescent="0.25">
      <c r="A17" s="115" t="s">
        <v>32</v>
      </c>
      <c r="B17" s="255">
        <f>AA612XR_ITATI!L17</f>
        <v>9726</v>
      </c>
    </row>
    <row r="18" spans="1:5" x14ac:dyDescent="0.25">
      <c r="A18" s="115" t="s">
        <v>186</v>
      </c>
      <c r="B18" s="255">
        <f>HVE658_ITATI!L21</f>
        <v>10947</v>
      </c>
    </row>
    <row r="19" spans="1:5" x14ac:dyDescent="0.25">
      <c r="A19" s="115" t="s">
        <v>257</v>
      </c>
      <c r="B19" s="255">
        <f>KNQ676_ITATI!L22</f>
        <v>12724</v>
      </c>
    </row>
    <row r="20" spans="1:5" x14ac:dyDescent="0.25">
      <c r="A20" s="115" t="s">
        <v>312</v>
      </c>
      <c r="B20" s="255">
        <f>OMA273_LOPEZ!L21</f>
        <v>11710</v>
      </c>
    </row>
    <row r="21" spans="1:5" x14ac:dyDescent="0.25">
      <c r="A21" s="115" t="s">
        <v>237</v>
      </c>
      <c r="B21" s="255">
        <f>KGF058_REYERO!L20</f>
        <v>10935</v>
      </c>
    </row>
    <row r="22" spans="1:5" x14ac:dyDescent="0.25">
      <c r="A22" s="115" t="s">
        <v>65</v>
      </c>
      <c r="B22" s="255">
        <f>'AB206GS_S.Y.L'!L12</f>
        <v>5159</v>
      </c>
    </row>
    <row r="23" spans="1:5" x14ac:dyDescent="0.25">
      <c r="A23" s="115" t="s">
        <v>160</v>
      </c>
      <c r="B23" s="255">
        <f>'AE502ET_S.Y.L'!L21</f>
        <v>10766</v>
      </c>
    </row>
    <row r="24" spans="1:5" x14ac:dyDescent="0.25">
      <c r="A24" s="115" t="s">
        <v>299</v>
      </c>
      <c r="B24" s="255">
        <f>'MBP526_S.Y.L'!L18</f>
        <v>9616</v>
      </c>
    </row>
    <row r="25" spans="1:5" x14ac:dyDescent="0.25">
      <c r="A25" s="115" t="s">
        <v>6</v>
      </c>
      <c r="B25" s="255">
        <f>AA327US_TAMES!L7</f>
        <v>2220</v>
      </c>
    </row>
    <row r="26" spans="1:5" ht="15.75" thickBot="1" x14ac:dyDescent="0.3">
      <c r="A26" s="115" t="s">
        <v>84</v>
      </c>
      <c r="B26" s="255">
        <f>'AB631DS_TRANSP M Y H'!L23</f>
        <v>12398</v>
      </c>
    </row>
    <row r="27" spans="1:5" ht="15.75" thickBot="1" x14ac:dyDescent="0.3">
      <c r="A27" s="256" t="s">
        <v>507</v>
      </c>
      <c r="B27" s="256">
        <f>SUM(B5:B26)</f>
        <v>226534</v>
      </c>
      <c r="C27" s="2"/>
      <c r="D27" s="254" t="s">
        <v>707</v>
      </c>
      <c r="E27" s="256">
        <f>B27/22</f>
        <v>10297</v>
      </c>
    </row>
    <row r="28" spans="1:5" ht="15.75" thickBot="1" x14ac:dyDescent="0.3">
      <c r="A28" s="256" t="s">
        <v>708</v>
      </c>
      <c r="B28" s="257">
        <f>SUM(B5:B11)</f>
        <v>71187</v>
      </c>
      <c r="C28" s="2"/>
      <c r="D28" s="258"/>
      <c r="E28" s="259"/>
    </row>
    <row r="29" spans="1:5" ht="15.75" thickBot="1" x14ac:dyDescent="0.3"/>
    <row r="30" spans="1:5" ht="15.75" thickBot="1" x14ac:dyDescent="0.3">
      <c r="A30" s="254" t="s">
        <v>710</v>
      </c>
      <c r="B30" s="260">
        <f>SUELDOS!S33</f>
        <v>654582.57588850008</v>
      </c>
    </row>
    <row r="31" spans="1:5" ht="15.75" thickBot="1" x14ac:dyDescent="0.3">
      <c r="A31" s="2"/>
      <c r="B31" s="2"/>
    </row>
    <row r="32" spans="1:5" ht="15.75" thickBot="1" x14ac:dyDescent="0.3">
      <c r="A32" s="261" t="s">
        <v>709</v>
      </c>
      <c r="B32" s="262">
        <f>B30/B27</f>
        <v>2.889555545253693</v>
      </c>
      <c r="E32" s="263"/>
    </row>
    <row r="34" spans="2:3" x14ac:dyDescent="0.25">
      <c r="B34" s="264">
        <v>0.30359999999999998</v>
      </c>
      <c r="C34" s="265">
        <f>+B32*B34</f>
        <v>0.87726906353902112</v>
      </c>
    </row>
    <row r="35" spans="2:3" x14ac:dyDescent="0.25">
      <c r="B35" s="266">
        <v>0.69640000000000002</v>
      </c>
      <c r="C35" s="267">
        <f>+B32*B35</f>
        <v>2.0122864817146717</v>
      </c>
    </row>
    <row r="36" spans="2:3" x14ac:dyDescent="0.25">
      <c r="C36" s="267"/>
    </row>
  </sheetData>
  <mergeCells count="1">
    <mergeCell ref="A1:B2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rgb="FFFFC000"/>
  </sheetPr>
  <dimension ref="A1:M662"/>
  <sheetViews>
    <sheetView topLeftCell="A29" workbookViewId="0">
      <selection activeCell="M10" sqref="M10:M28"/>
    </sheetView>
  </sheetViews>
  <sheetFormatPr baseColWidth="10" defaultRowHeight="15" outlineLevelRow="2" x14ac:dyDescent="0.25"/>
  <cols>
    <col min="1" max="1" width="14.42578125" style="38" bestFit="1" customWidth="1"/>
    <col min="2" max="2" width="11.28515625" style="38" customWidth="1"/>
    <col min="3" max="4" width="14.5703125" style="38" customWidth="1"/>
    <col min="5" max="5" width="30.28515625" style="38" customWidth="1"/>
    <col min="6" max="6" width="49.7109375" style="38" customWidth="1"/>
    <col min="7" max="7" width="25.42578125" style="38" customWidth="1"/>
    <col min="8" max="8" width="10.5703125" style="38" hidden="1" customWidth="1"/>
    <col min="9" max="11" width="2" style="38" hidden="1" customWidth="1"/>
    <col min="12" max="12" width="9.140625" style="38" hidden="1" customWidth="1"/>
    <col min="13" max="13" width="14" style="280" bestFit="1" customWidth="1"/>
    <col min="14" max="16384" width="11.42578125" style="38"/>
  </cols>
  <sheetData>
    <row r="1" spans="1:13" ht="15" customHeight="1" x14ac:dyDescent="0.25">
      <c r="A1" s="747" t="s">
        <v>1031</v>
      </c>
      <c r="B1" s="748"/>
      <c r="C1" s="748"/>
      <c r="D1" s="748"/>
      <c r="E1" s="748"/>
      <c r="F1" s="748"/>
      <c r="G1" s="748"/>
      <c r="H1" s="748"/>
      <c r="I1" s="748"/>
      <c r="J1" s="748"/>
      <c r="K1" s="748"/>
      <c r="L1" s="748"/>
      <c r="M1" s="749"/>
    </row>
    <row r="3" spans="1:13" x14ac:dyDescent="0.25">
      <c r="A3" s="272" t="s">
        <v>506</v>
      </c>
      <c r="B3" s="272" t="s">
        <v>525</v>
      </c>
      <c r="C3" s="272" t="s">
        <v>1026</v>
      </c>
      <c r="D3" s="272" t="s">
        <v>1027</v>
      </c>
      <c r="E3" s="272" t="s">
        <v>1028</v>
      </c>
      <c r="F3" s="272" t="s">
        <v>1029</v>
      </c>
      <c r="G3" s="272" t="s">
        <v>1030</v>
      </c>
      <c r="H3" s="272"/>
      <c r="I3" s="272"/>
      <c r="J3" s="272"/>
      <c r="K3" s="272"/>
      <c r="L3" s="272"/>
      <c r="M3" s="273" t="s">
        <v>507</v>
      </c>
    </row>
    <row r="4" spans="1:13" outlineLevel="2" x14ac:dyDescent="0.25">
      <c r="A4" s="44" t="s">
        <v>440</v>
      </c>
      <c r="B4" s="274">
        <v>44470</v>
      </c>
      <c r="C4" s="44" t="s">
        <v>1034</v>
      </c>
      <c r="D4" s="275">
        <v>500033638</v>
      </c>
      <c r="E4" s="44" t="s">
        <v>713</v>
      </c>
      <c r="F4" s="44" t="s">
        <v>714</v>
      </c>
      <c r="G4" s="44"/>
      <c r="H4" s="44"/>
      <c r="I4" s="44"/>
      <c r="J4" s="44"/>
      <c r="K4" s="44"/>
      <c r="L4" s="44"/>
      <c r="M4" s="276">
        <v>1252.6099999999999</v>
      </c>
    </row>
    <row r="5" spans="1:13" outlineLevel="1" x14ac:dyDescent="0.25">
      <c r="A5" s="286" t="s">
        <v>1037</v>
      </c>
      <c r="B5" s="738"/>
      <c r="C5" s="739"/>
      <c r="D5" s="739"/>
      <c r="E5" s="739"/>
      <c r="F5" s="739"/>
      <c r="G5" s="740"/>
      <c r="H5" s="287"/>
      <c r="I5" s="287"/>
      <c r="J5" s="287"/>
      <c r="K5" s="287"/>
      <c r="L5" s="287"/>
      <c r="M5" s="288">
        <f>SUBTOTAL(9,M4:M4)</f>
        <v>1252.6099999999999</v>
      </c>
    </row>
    <row r="6" spans="1:13" outlineLevel="2" x14ac:dyDescent="0.25">
      <c r="A6" s="44" t="s">
        <v>442</v>
      </c>
      <c r="B6" s="274">
        <v>44470</v>
      </c>
      <c r="C6" s="44" t="s">
        <v>1034</v>
      </c>
      <c r="D6" s="275">
        <v>500033638</v>
      </c>
      <c r="E6" s="44" t="s">
        <v>713</v>
      </c>
      <c r="F6" s="44" t="s">
        <v>714</v>
      </c>
      <c r="G6" s="44"/>
      <c r="H6" s="44"/>
      <c r="I6" s="44"/>
      <c r="J6" s="44"/>
      <c r="K6" s="44"/>
      <c r="L6" s="44"/>
      <c r="M6" s="276">
        <v>1252.6099999999999</v>
      </c>
    </row>
    <row r="7" spans="1:13" outlineLevel="1" x14ac:dyDescent="0.25">
      <c r="A7" s="286" t="s">
        <v>1038</v>
      </c>
      <c r="B7" s="738"/>
      <c r="C7" s="739"/>
      <c r="D7" s="739"/>
      <c r="E7" s="739"/>
      <c r="F7" s="739"/>
      <c r="G7" s="740"/>
      <c r="H7" s="287"/>
      <c r="I7" s="287"/>
      <c r="J7" s="287"/>
      <c r="K7" s="287"/>
      <c r="L7" s="287"/>
      <c r="M7" s="288">
        <f>SUBTOTAL(9,M6:M6)</f>
        <v>1252.6099999999999</v>
      </c>
    </row>
    <row r="8" spans="1:13" outlineLevel="2" x14ac:dyDescent="0.25">
      <c r="A8" s="44" t="s">
        <v>438</v>
      </c>
      <c r="B8" s="274">
        <v>44470</v>
      </c>
      <c r="C8" s="44" t="s">
        <v>1034</v>
      </c>
      <c r="D8" s="275">
        <v>500033638</v>
      </c>
      <c r="E8" s="44" t="s">
        <v>713</v>
      </c>
      <c r="F8" s="44" t="s">
        <v>714</v>
      </c>
      <c r="G8" s="44"/>
      <c r="H8" s="44"/>
      <c r="I8" s="44"/>
      <c r="J8" s="44"/>
      <c r="K8" s="44"/>
      <c r="L8" s="44"/>
      <c r="M8" s="276">
        <v>1252.6099999999999</v>
      </c>
    </row>
    <row r="9" spans="1:13" outlineLevel="1" x14ac:dyDescent="0.25">
      <c r="A9" s="286" t="s">
        <v>1039</v>
      </c>
      <c r="B9" s="738"/>
      <c r="C9" s="739"/>
      <c r="D9" s="739"/>
      <c r="E9" s="739"/>
      <c r="F9" s="739"/>
      <c r="G9" s="740"/>
      <c r="H9" s="287"/>
      <c r="I9" s="287"/>
      <c r="J9" s="287"/>
      <c r="K9" s="287"/>
      <c r="L9" s="287"/>
      <c r="M9" s="288">
        <f>SUBTOTAL(9,M8:M8)</f>
        <v>1252.6099999999999</v>
      </c>
    </row>
    <row r="10" spans="1:13" hidden="1" outlineLevel="2" x14ac:dyDescent="0.25">
      <c r="A10" s="281" t="s">
        <v>99</v>
      </c>
      <c r="B10" s="485">
        <v>44470</v>
      </c>
      <c r="C10" s="281" t="s">
        <v>1034</v>
      </c>
      <c r="D10" s="486">
        <v>10400520948</v>
      </c>
      <c r="E10" s="281" t="s">
        <v>716</v>
      </c>
      <c r="F10" s="281" t="s">
        <v>717</v>
      </c>
      <c r="G10" s="281"/>
      <c r="H10" s="281"/>
      <c r="I10" s="281"/>
      <c r="J10" s="281"/>
      <c r="K10" s="281"/>
      <c r="L10" s="281"/>
      <c r="M10" s="487">
        <v>363.64</v>
      </c>
    </row>
    <row r="11" spans="1:13" hidden="1" outlineLevel="2" x14ac:dyDescent="0.25">
      <c r="A11" s="281" t="s">
        <v>99</v>
      </c>
      <c r="B11" s="485">
        <v>44470</v>
      </c>
      <c r="C11" s="281" t="s">
        <v>1034</v>
      </c>
      <c r="D11" s="486">
        <v>10400560760</v>
      </c>
      <c r="E11" s="281" t="s">
        <v>716</v>
      </c>
      <c r="F11" s="281" t="s">
        <v>717</v>
      </c>
      <c r="G11" s="281"/>
      <c r="H11" s="281"/>
      <c r="I11" s="281"/>
      <c r="J11" s="281"/>
      <c r="K11" s="281"/>
      <c r="L11" s="281"/>
      <c r="M11" s="487">
        <v>2269.42</v>
      </c>
    </row>
    <row r="12" spans="1:13" hidden="1" outlineLevel="2" x14ac:dyDescent="0.25">
      <c r="A12" s="281" t="s">
        <v>99</v>
      </c>
      <c r="B12" s="485">
        <v>44470</v>
      </c>
      <c r="C12" s="281" t="s">
        <v>1034</v>
      </c>
      <c r="D12" s="486">
        <v>10400572393</v>
      </c>
      <c r="E12" s="281" t="s">
        <v>716</v>
      </c>
      <c r="F12" s="281" t="s">
        <v>717</v>
      </c>
      <c r="G12" s="281"/>
      <c r="H12" s="281"/>
      <c r="I12" s="281"/>
      <c r="J12" s="281"/>
      <c r="K12" s="281"/>
      <c r="L12" s="281"/>
      <c r="M12" s="487">
        <v>118.18</v>
      </c>
    </row>
    <row r="13" spans="1:13" hidden="1" outlineLevel="2" x14ac:dyDescent="0.25">
      <c r="A13" s="281" t="s">
        <v>99</v>
      </c>
      <c r="B13" s="485">
        <v>44470</v>
      </c>
      <c r="C13" s="281" t="s">
        <v>1034</v>
      </c>
      <c r="D13" s="486">
        <v>60000274229</v>
      </c>
      <c r="E13" s="281" t="s">
        <v>718</v>
      </c>
      <c r="F13" s="281" t="s">
        <v>717</v>
      </c>
      <c r="G13" s="281"/>
      <c r="H13" s="281"/>
      <c r="I13" s="281"/>
      <c r="J13" s="281"/>
      <c r="K13" s="281"/>
      <c r="L13" s="281"/>
      <c r="M13" s="487">
        <v>1707.65</v>
      </c>
    </row>
    <row r="14" spans="1:13" hidden="1" outlineLevel="2" x14ac:dyDescent="0.25">
      <c r="A14" s="281" t="s">
        <v>99</v>
      </c>
      <c r="B14" s="485">
        <v>44470</v>
      </c>
      <c r="C14" s="281" t="s">
        <v>1034</v>
      </c>
      <c r="D14" s="486">
        <v>60000285996</v>
      </c>
      <c r="E14" s="281" t="s">
        <v>718</v>
      </c>
      <c r="F14" s="281" t="s">
        <v>717</v>
      </c>
      <c r="G14" s="281"/>
      <c r="H14" s="281"/>
      <c r="I14" s="281"/>
      <c r="J14" s="281"/>
      <c r="K14" s="281"/>
      <c r="L14" s="281"/>
      <c r="M14" s="487">
        <v>2531.75</v>
      </c>
    </row>
    <row r="15" spans="1:13" ht="30" hidden="1" outlineLevel="2" x14ac:dyDescent="0.25">
      <c r="A15" s="281" t="s">
        <v>99</v>
      </c>
      <c r="B15" s="485">
        <v>44470</v>
      </c>
      <c r="C15" s="281" t="s">
        <v>1034</v>
      </c>
      <c r="D15" s="486">
        <v>62902669209</v>
      </c>
      <c r="E15" s="281" t="s">
        <v>719</v>
      </c>
      <c r="F15" s="281" t="s">
        <v>717</v>
      </c>
      <c r="G15" s="281"/>
      <c r="H15" s="281"/>
      <c r="I15" s="281"/>
      <c r="J15" s="281"/>
      <c r="K15" s="281"/>
      <c r="L15" s="281"/>
      <c r="M15" s="487">
        <v>700.26</v>
      </c>
    </row>
    <row r="16" spans="1:13" hidden="1" outlineLevel="2" x14ac:dyDescent="0.25">
      <c r="A16" s="281" t="s">
        <v>99</v>
      </c>
      <c r="B16" s="485">
        <v>44470</v>
      </c>
      <c r="C16" s="281" t="s">
        <v>1034</v>
      </c>
      <c r="D16" s="486">
        <v>65100019280</v>
      </c>
      <c r="E16" s="281" t="s">
        <v>720</v>
      </c>
      <c r="F16" s="281" t="s">
        <v>721</v>
      </c>
      <c r="G16" s="281"/>
      <c r="H16" s="281"/>
      <c r="I16" s="281"/>
      <c r="J16" s="281"/>
      <c r="K16" s="281"/>
      <c r="L16" s="281"/>
      <c r="M16" s="487">
        <v>1922</v>
      </c>
    </row>
    <row r="17" spans="1:13" hidden="1" outlineLevel="2" x14ac:dyDescent="0.25">
      <c r="A17" s="281" t="s">
        <v>99</v>
      </c>
      <c r="B17" s="485">
        <v>44470</v>
      </c>
      <c r="C17" s="281" t="s">
        <v>1034</v>
      </c>
      <c r="D17" s="486">
        <v>65100019280</v>
      </c>
      <c r="E17" s="281" t="s">
        <v>720</v>
      </c>
      <c r="F17" s="281" t="s">
        <v>722</v>
      </c>
      <c r="G17" s="281"/>
      <c r="H17" s="281"/>
      <c r="I17" s="281"/>
      <c r="J17" s="281"/>
      <c r="K17" s="281"/>
      <c r="L17" s="281"/>
      <c r="M17" s="487">
        <v>272</v>
      </c>
    </row>
    <row r="18" spans="1:13" hidden="1" outlineLevel="2" x14ac:dyDescent="0.25">
      <c r="A18" s="281" t="s">
        <v>99</v>
      </c>
      <c r="B18" s="485">
        <v>44470</v>
      </c>
      <c r="C18" s="281" t="s">
        <v>1034</v>
      </c>
      <c r="D18" s="486">
        <v>501300168825</v>
      </c>
      <c r="E18" s="281" t="s">
        <v>723</v>
      </c>
      <c r="F18" s="281" t="s">
        <v>717</v>
      </c>
      <c r="G18" s="281"/>
      <c r="H18" s="281"/>
      <c r="I18" s="281"/>
      <c r="J18" s="281"/>
      <c r="K18" s="281"/>
      <c r="L18" s="281"/>
      <c r="M18" s="487">
        <v>744.22</v>
      </c>
    </row>
    <row r="19" spans="1:13" hidden="1" outlineLevel="2" x14ac:dyDescent="0.25">
      <c r="A19" s="281" t="s">
        <v>99</v>
      </c>
      <c r="B19" s="485">
        <v>44484</v>
      </c>
      <c r="C19" s="281" t="s">
        <v>1034</v>
      </c>
      <c r="D19" s="486">
        <v>501300183869</v>
      </c>
      <c r="E19" s="281" t="s">
        <v>723</v>
      </c>
      <c r="F19" s="281" t="s">
        <v>717</v>
      </c>
      <c r="G19" s="281"/>
      <c r="H19" s="281"/>
      <c r="I19" s="281"/>
      <c r="J19" s="281"/>
      <c r="K19" s="281"/>
      <c r="L19" s="281"/>
      <c r="M19" s="487">
        <v>749.31</v>
      </c>
    </row>
    <row r="20" spans="1:13" ht="30" hidden="1" outlineLevel="2" x14ac:dyDescent="0.25">
      <c r="A20" s="281" t="s">
        <v>99</v>
      </c>
      <c r="B20" s="485">
        <v>44488</v>
      </c>
      <c r="C20" s="281" t="s">
        <v>1034</v>
      </c>
      <c r="D20" s="486">
        <v>62902744239</v>
      </c>
      <c r="E20" s="281" t="s">
        <v>719</v>
      </c>
      <c r="F20" s="281" t="s">
        <v>717</v>
      </c>
      <c r="G20" s="281"/>
      <c r="H20" s="281"/>
      <c r="I20" s="281"/>
      <c r="J20" s="281"/>
      <c r="K20" s="281"/>
      <c r="L20" s="281"/>
      <c r="M20" s="487">
        <v>355.04</v>
      </c>
    </row>
    <row r="21" spans="1:13" hidden="1" outlineLevel="2" x14ac:dyDescent="0.25">
      <c r="A21" s="281" t="s">
        <v>99</v>
      </c>
      <c r="B21" s="485">
        <v>44491</v>
      </c>
      <c r="C21" s="281" t="s">
        <v>1034</v>
      </c>
      <c r="D21" s="486">
        <v>10400754323</v>
      </c>
      <c r="E21" s="281" t="s">
        <v>716</v>
      </c>
      <c r="F21" s="281" t="s">
        <v>717</v>
      </c>
      <c r="G21" s="281"/>
      <c r="H21" s="281"/>
      <c r="I21" s="281"/>
      <c r="J21" s="281"/>
      <c r="K21" s="281"/>
      <c r="L21" s="281"/>
      <c r="M21" s="487">
        <v>1411.57</v>
      </c>
    </row>
    <row r="22" spans="1:13" hidden="1" outlineLevel="2" x14ac:dyDescent="0.25">
      <c r="A22" s="281" t="s">
        <v>99</v>
      </c>
      <c r="B22" s="485">
        <v>44495</v>
      </c>
      <c r="C22" s="281" t="s">
        <v>1034</v>
      </c>
      <c r="D22" s="486">
        <v>500003105</v>
      </c>
      <c r="E22" s="281" t="s">
        <v>724</v>
      </c>
      <c r="F22" s="281" t="s">
        <v>725</v>
      </c>
      <c r="G22" s="281"/>
      <c r="H22" s="281"/>
      <c r="I22" s="281"/>
      <c r="J22" s="281"/>
      <c r="K22" s="281"/>
      <c r="L22" s="281"/>
      <c r="M22" s="487">
        <v>898.98</v>
      </c>
    </row>
    <row r="23" spans="1:13" hidden="1" outlineLevel="2" x14ac:dyDescent="0.25">
      <c r="A23" s="281" t="s">
        <v>99</v>
      </c>
      <c r="B23" s="485">
        <v>44496</v>
      </c>
      <c r="C23" s="281" t="s">
        <v>1034</v>
      </c>
      <c r="D23" s="486">
        <v>65100019922</v>
      </c>
      <c r="E23" s="281" t="s">
        <v>720</v>
      </c>
      <c r="F23" s="281" t="s">
        <v>726</v>
      </c>
      <c r="G23" s="281"/>
      <c r="H23" s="281"/>
      <c r="I23" s="281"/>
      <c r="J23" s="281"/>
      <c r="K23" s="281"/>
      <c r="L23" s="281"/>
      <c r="M23" s="487">
        <v>1922</v>
      </c>
    </row>
    <row r="24" spans="1:13" hidden="1" outlineLevel="2" x14ac:dyDescent="0.25">
      <c r="A24" s="281" t="s">
        <v>99</v>
      </c>
      <c r="B24" s="485">
        <v>44496</v>
      </c>
      <c r="C24" s="281" t="s">
        <v>1034</v>
      </c>
      <c r="D24" s="486">
        <v>65100019922</v>
      </c>
      <c r="E24" s="281" t="s">
        <v>720</v>
      </c>
      <c r="F24" s="281" t="s">
        <v>727</v>
      </c>
      <c r="G24" s="281"/>
      <c r="H24" s="281"/>
      <c r="I24" s="281"/>
      <c r="J24" s="281"/>
      <c r="K24" s="281"/>
      <c r="L24" s="281"/>
      <c r="M24" s="487">
        <v>272</v>
      </c>
    </row>
    <row r="25" spans="1:13" hidden="1" outlineLevel="2" x14ac:dyDescent="0.25">
      <c r="A25" s="281" t="s">
        <v>99</v>
      </c>
      <c r="B25" s="485">
        <v>44500</v>
      </c>
      <c r="C25" s="281" t="s">
        <v>1034</v>
      </c>
      <c r="D25" s="486">
        <v>60000298248</v>
      </c>
      <c r="E25" s="281" t="s">
        <v>718</v>
      </c>
      <c r="F25" s="281" t="s">
        <v>717</v>
      </c>
      <c r="G25" s="281"/>
      <c r="H25" s="281"/>
      <c r="I25" s="281"/>
      <c r="J25" s="281"/>
      <c r="K25" s="281"/>
      <c r="L25" s="281"/>
      <c r="M25" s="487">
        <v>2546.42</v>
      </c>
    </row>
    <row r="26" spans="1:13" hidden="1" outlineLevel="2" x14ac:dyDescent="0.25">
      <c r="A26" s="44" t="s">
        <v>99</v>
      </c>
      <c r="B26" s="274">
        <v>44490</v>
      </c>
      <c r="C26" s="44" t="s">
        <v>1036</v>
      </c>
      <c r="D26" s="275">
        <v>100004962</v>
      </c>
      <c r="E26" s="44" t="s">
        <v>716</v>
      </c>
      <c r="F26" s="44" t="s">
        <v>717</v>
      </c>
      <c r="G26" s="44" t="s">
        <v>914</v>
      </c>
      <c r="H26" s="44">
        <v>223.88415000000001</v>
      </c>
      <c r="I26" s="44">
        <v>0</v>
      </c>
      <c r="J26" s="44">
        <v>0</v>
      </c>
      <c r="K26" s="44">
        <v>1</v>
      </c>
      <c r="L26" s="277">
        <v>1290</v>
      </c>
      <c r="M26" s="269">
        <f>L26-(H26+I26+J26)*K26</f>
        <v>1066.1158499999999</v>
      </c>
    </row>
    <row r="27" spans="1:13" ht="30" hidden="1" outlineLevel="2" x14ac:dyDescent="0.25">
      <c r="A27" s="44" t="s">
        <v>99</v>
      </c>
      <c r="B27" s="274">
        <v>44490</v>
      </c>
      <c r="C27" s="44" t="s">
        <v>1036</v>
      </c>
      <c r="D27" s="275">
        <v>100004962</v>
      </c>
      <c r="E27" s="44" t="s">
        <v>915</v>
      </c>
      <c r="F27" s="44" t="s">
        <v>717</v>
      </c>
      <c r="G27" s="44" t="s">
        <v>914</v>
      </c>
      <c r="H27" s="44">
        <v>260.33069999999998</v>
      </c>
      <c r="I27" s="44">
        <v>0</v>
      </c>
      <c r="J27" s="44">
        <v>0</v>
      </c>
      <c r="K27" s="44">
        <v>1</v>
      </c>
      <c r="L27" s="277">
        <v>2400</v>
      </c>
      <c r="M27" s="269">
        <f>L27-(H27+I27+J27)*K27</f>
        <v>2139.6693</v>
      </c>
    </row>
    <row r="28" spans="1:13" hidden="1" outlineLevel="2" x14ac:dyDescent="0.25">
      <c r="A28" s="44" t="s">
        <v>99</v>
      </c>
      <c r="B28" s="274">
        <v>44498</v>
      </c>
      <c r="C28" s="44" t="s">
        <v>1036</v>
      </c>
      <c r="D28" s="275">
        <v>100004991</v>
      </c>
      <c r="E28" s="44" t="s">
        <v>916</v>
      </c>
      <c r="F28" s="44" t="s">
        <v>917</v>
      </c>
      <c r="G28" s="44" t="s">
        <v>918</v>
      </c>
      <c r="H28" s="44">
        <v>694.21379999999999</v>
      </c>
      <c r="I28" s="44">
        <v>0</v>
      </c>
      <c r="J28" s="44">
        <v>0</v>
      </c>
      <c r="K28" s="44">
        <v>1</v>
      </c>
      <c r="L28" s="277">
        <v>3999.99</v>
      </c>
      <c r="M28" s="269">
        <f>L28-(H28+I28+J28)*K28</f>
        <v>3305.7761999999998</v>
      </c>
    </row>
    <row r="29" spans="1:13" outlineLevel="1" collapsed="1" x14ac:dyDescent="0.25">
      <c r="A29" s="282" t="s">
        <v>639</v>
      </c>
      <c r="B29" s="741"/>
      <c r="C29" s="742"/>
      <c r="D29" s="742"/>
      <c r="E29" s="742"/>
      <c r="F29" s="742"/>
      <c r="G29" s="743"/>
      <c r="H29" s="283"/>
      <c r="I29" s="283"/>
      <c r="J29" s="283"/>
      <c r="K29" s="283"/>
      <c r="L29" s="284"/>
      <c r="M29" s="285">
        <f>SUBTOTAL(9,M10:M28)</f>
        <v>25296.001349999999</v>
      </c>
    </row>
    <row r="30" spans="1:13" outlineLevel="2" x14ac:dyDescent="0.25">
      <c r="A30" s="44" t="s">
        <v>105</v>
      </c>
      <c r="B30" s="274">
        <v>44470</v>
      </c>
      <c r="C30" s="44" t="s">
        <v>1034</v>
      </c>
      <c r="D30" s="275">
        <v>10400560760</v>
      </c>
      <c r="E30" s="44" t="s">
        <v>716</v>
      </c>
      <c r="F30" s="44" t="s">
        <v>717</v>
      </c>
      <c r="G30" s="44"/>
      <c r="H30" s="44"/>
      <c r="I30" s="44"/>
      <c r="J30" s="44"/>
      <c r="K30" s="44"/>
      <c r="L30" s="44"/>
      <c r="M30" s="276">
        <v>3708.26</v>
      </c>
    </row>
    <row r="31" spans="1:13" outlineLevel="2" x14ac:dyDescent="0.25">
      <c r="A31" s="44" t="s">
        <v>105</v>
      </c>
      <c r="B31" s="274">
        <v>44470</v>
      </c>
      <c r="C31" s="44" t="s">
        <v>1034</v>
      </c>
      <c r="D31" s="275">
        <v>10400572393</v>
      </c>
      <c r="E31" s="44" t="s">
        <v>716</v>
      </c>
      <c r="F31" s="44" t="s">
        <v>717</v>
      </c>
      <c r="G31" s="44"/>
      <c r="H31" s="44"/>
      <c r="I31" s="44"/>
      <c r="J31" s="44"/>
      <c r="K31" s="44"/>
      <c r="L31" s="44"/>
      <c r="M31" s="276">
        <v>763.64</v>
      </c>
    </row>
    <row r="32" spans="1:13" outlineLevel="2" x14ac:dyDescent="0.25">
      <c r="A32" s="44" t="s">
        <v>105</v>
      </c>
      <c r="B32" s="274">
        <v>44470</v>
      </c>
      <c r="C32" s="44" t="s">
        <v>1034</v>
      </c>
      <c r="D32" s="275">
        <v>65100019280</v>
      </c>
      <c r="E32" s="44" t="s">
        <v>720</v>
      </c>
      <c r="F32" s="44" t="s">
        <v>721</v>
      </c>
      <c r="G32" s="44"/>
      <c r="H32" s="44"/>
      <c r="I32" s="44"/>
      <c r="J32" s="44"/>
      <c r="K32" s="44"/>
      <c r="L32" s="44"/>
      <c r="M32" s="276">
        <v>1922</v>
      </c>
    </row>
    <row r="33" spans="1:13" outlineLevel="2" x14ac:dyDescent="0.25">
      <c r="A33" s="44" t="s">
        <v>105</v>
      </c>
      <c r="B33" s="274">
        <v>44470</v>
      </c>
      <c r="C33" s="44" t="s">
        <v>1034</v>
      </c>
      <c r="D33" s="275">
        <v>65100019280</v>
      </c>
      <c r="E33" s="44" t="s">
        <v>720</v>
      </c>
      <c r="F33" s="44" t="s">
        <v>722</v>
      </c>
      <c r="G33" s="44"/>
      <c r="H33" s="44"/>
      <c r="I33" s="44"/>
      <c r="J33" s="44"/>
      <c r="K33" s="44"/>
      <c r="L33" s="44"/>
      <c r="M33" s="276">
        <v>272</v>
      </c>
    </row>
    <row r="34" spans="1:13" outlineLevel="2" x14ac:dyDescent="0.25">
      <c r="A34" s="44" t="s">
        <v>105</v>
      </c>
      <c r="B34" s="274">
        <v>44491</v>
      </c>
      <c r="C34" s="44" t="s">
        <v>1034</v>
      </c>
      <c r="D34" s="275">
        <v>10400676781</v>
      </c>
      <c r="E34" s="44" t="s">
        <v>716</v>
      </c>
      <c r="F34" s="44" t="s">
        <v>717</v>
      </c>
      <c r="G34" s="44"/>
      <c r="H34" s="44"/>
      <c r="I34" s="44"/>
      <c r="J34" s="44"/>
      <c r="K34" s="44"/>
      <c r="L34" s="44"/>
      <c r="M34" s="276">
        <v>381.82</v>
      </c>
    </row>
    <row r="35" spans="1:13" outlineLevel="2" x14ac:dyDescent="0.25">
      <c r="A35" s="44" t="s">
        <v>105</v>
      </c>
      <c r="B35" s="274">
        <v>44491</v>
      </c>
      <c r="C35" s="44" t="s">
        <v>1034</v>
      </c>
      <c r="D35" s="275">
        <v>10400754323</v>
      </c>
      <c r="E35" s="44" t="s">
        <v>716</v>
      </c>
      <c r="F35" s="44" t="s">
        <v>717</v>
      </c>
      <c r="G35" s="44"/>
      <c r="H35" s="44"/>
      <c r="I35" s="44"/>
      <c r="J35" s="44"/>
      <c r="K35" s="44"/>
      <c r="L35" s="44"/>
      <c r="M35" s="276">
        <v>4034.71</v>
      </c>
    </row>
    <row r="36" spans="1:13" outlineLevel="2" x14ac:dyDescent="0.25">
      <c r="A36" s="44" t="s">
        <v>105</v>
      </c>
      <c r="B36" s="274">
        <v>44495</v>
      </c>
      <c r="C36" s="44" t="s">
        <v>1034</v>
      </c>
      <c r="D36" s="275">
        <v>500003105</v>
      </c>
      <c r="E36" s="44" t="s">
        <v>724</v>
      </c>
      <c r="F36" s="44" t="s">
        <v>725</v>
      </c>
      <c r="G36" s="44"/>
      <c r="H36" s="44"/>
      <c r="I36" s="44"/>
      <c r="J36" s="44"/>
      <c r="K36" s="44"/>
      <c r="L36" s="44"/>
      <c r="M36" s="276">
        <v>1797.96</v>
      </c>
    </row>
    <row r="37" spans="1:13" outlineLevel="2" x14ac:dyDescent="0.25">
      <c r="A37" s="44" t="s">
        <v>105</v>
      </c>
      <c r="B37" s="274">
        <v>44496</v>
      </c>
      <c r="C37" s="44" t="s">
        <v>1034</v>
      </c>
      <c r="D37" s="275">
        <v>300000103</v>
      </c>
      <c r="E37" s="44" t="s">
        <v>728</v>
      </c>
      <c r="F37" s="44" t="s">
        <v>729</v>
      </c>
      <c r="G37" s="44"/>
      <c r="H37" s="44"/>
      <c r="I37" s="44"/>
      <c r="J37" s="44"/>
      <c r="K37" s="44"/>
      <c r="L37" s="44"/>
      <c r="M37" s="276">
        <v>495.87</v>
      </c>
    </row>
    <row r="38" spans="1:13" outlineLevel="2" x14ac:dyDescent="0.25">
      <c r="A38" s="44" t="s">
        <v>105</v>
      </c>
      <c r="B38" s="274">
        <v>44496</v>
      </c>
      <c r="C38" s="44" t="s">
        <v>1034</v>
      </c>
      <c r="D38" s="275">
        <v>65100019922</v>
      </c>
      <c r="E38" s="44" t="s">
        <v>720</v>
      </c>
      <c r="F38" s="44" t="s">
        <v>726</v>
      </c>
      <c r="G38" s="44"/>
      <c r="H38" s="44"/>
      <c r="I38" s="44"/>
      <c r="J38" s="44"/>
      <c r="K38" s="44"/>
      <c r="L38" s="44"/>
      <c r="M38" s="276">
        <v>1922</v>
      </c>
    </row>
    <row r="39" spans="1:13" outlineLevel="2" x14ac:dyDescent="0.25">
      <c r="A39" s="44" t="s">
        <v>105</v>
      </c>
      <c r="B39" s="274">
        <v>44496</v>
      </c>
      <c r="C39" s="44" t="s">
        <v>1034</v>
      </c>
      <c r="D39" s="275">
        <v>65100019922</v>
      </c>
      <c r="E39" s="44" t="s">
        <v>720</v>
      </c>
      <c r="F39" s="44" t="s">
        <v>727</v>
      </c>
      <c r="G39" s="44"/>
      <c r="H39" s="44"/>
      <c r="I39" s="44"/>
      <c r="J39" s="44"/>
      <c r="K39" s="44"/>
      <c r="L39" s="44"/>
      <c r="M39" s="276">
        <v>272</v>
      </c>
    </row>
    <row r="40" spans="1:13" outlineLevel="2" x14ac:dyDescent="0.25">
      <c r="A40" s="44" t="s">
        <v>105</v>
      </c>
      <c r="B40" s="274">
        <v>44476</v>
      </c>
      <c r="C40" s="44" t="s">
        <v>1032</v>
      </c>
      <c r="D40" s="275">
        <v>6584</v>
      </c>
      <c r="E40" s="44" t="s">
        <v>846</v>
      </c>
      <c r="F40" s="44" t="s">
        <v>847</v>
      </c>
      <c r="G40" s="44" t="s">
        <v>848</v>
      </c>
      <c r="H40" s="44"/>
      <c r="I40" s="44"/>
      <c r="J40" s="44"/>
      <c r="K40" s="44"/>
      <c r="L40" s="44"/>
      <c r="M40" s="276">
        <v>1570.84</v>
      </c>
    </row>
    <row r="41" spans="1:13" outlineLevel="2" x14ac:dyDescent="0.25">
      <c r="A41" s="44" t="s">
        <v>105</v>
      </c>
      <c r="B41" s="274">
        <v>44476</v>
      </c>
      <c r="C41" s="44" t="s">
        <v>1032</v>
      </c>
      <c r="D41" s="275">
        <v>6584</v>
      </c>
      <c r="E41" s="44" t="s">
        <v>846</v>
      </c>
      <c r="F41" s="44" t="s">
        <v>849</v>
      </c>
      <c r="G41" s="44" t="s">
        <v>850</v>
      </c>
      <c r="H41" s="44"/>
      <c r="I41" s="44"/>
      <c r="J41" s="44"/>
      <c r="K41" s="44"/>
      <c r="L41" s="44"/>
      <c r="M41" s="276">
        <v>1476.09</v>
      </c>
    </row>
    <row r="42" spans="1:13" outlineLevel="2" x14ac:dyDescent="0.25">
      <c r="A42" s="44" t="s">
        <v>105</v>
      </c>
      <c r="B42" s="274">
        <v>44476</v>
      </c>
      <c r="C42" s="44" t="s">
        <v>1032</v>
      </c>
      <c r="D42" s="275">
        <v>6584</v>
      </c>
      <c r="E42" s="44" t="s">
        <v>846</v>
      </c>
      <c r="F42" s="44" t="s">
        <v>851</v>
      </c>
      <c r="G42" s="44" t="s">
        <v>852</v>
      </c>
      <c r="H42" s="44"/>
      <c r="I42" s="44"/>
      <c r="J42" s="44"/>
      <c r="K42" s="44"/>
      <c r="L42" s="44"/>
      <c r="M42" s="276">
        <v>1108.24</v>
      </c>
    </row>
    <row r="43" spans="1:13" outlineLevel="2" x14ac:dyDescent="0.25">
      <c r="A43" s="44" t="s">
        <v>105</v>
      </c>
      <c r="B43" s="274">
        <v>44476</v>
      </c>
      <c r="C43" s="44" t="s">
        <v>1032</v>
      </c>
      <c r="D43" s="275">
        <v>6584</v>
      </c>
      <c r="E43" s="44" t="s">
        <v>846</v>
      </c>
      <c r="F43" s="44" t="s">
        <v>853</v>
      </c>
      <c r="G43" s="44" t="s">
        <v>854</v>
      </c>
      <c r="H43" s="44"/>
      <c r="I43" s="44"/>
      <c r="J43" s="44"/>
      <c r="K43" s="44"/>
      <c r="L43" s="44"/>
      <c r="M43" s="276">
        <v>3678.05</v>
      </c>
    </row>
    <row r="44" spans="1:13" outlineLevel="2" x14ac:dyDescent="0.25">
      <c r="A44" s="44" t="s">
        <v>105</v>
      </c>
      <c r="B44" s="274">
        <v>44483</v>
      </c>
      <c r="C44" s="44" t="s">
        <v>1036</v>
      </c>
      <c r="D44" s="275">
        <v>100004951</v>
      </c>
      <c r="E44" s="44" t="s">
        <v>919</v>
      </c>
      <c r="F44" s="44" t="s">
        <v>920</v>
      </c>
      <c r="G44" s="44" t="s">
        <v>921</v>
      </c>
      <c r="H44" s="44">
        <v>0</v>
      </c>
      <c r="I44" s="44">
        <v>0</v>
      </c>
      <c r="J44" s="44">
        <v>0</v>
      </c>
      <c r="K44" s="44">
        <v>1</v>
      </c>
      <c r="L44" s="277">
        <v>1450</v>
      </c>
      <c r="M44" s="269">
        <f t="shared" ref="M44:M49" si="0">L44-(H44+I44+J44)*K44</f>
        <v>1450</v>
      </c>
    </row>
    <row r="45" spans="1:13" outlineLevel="2" x14ac:dyDescent="0.25">
      <c r="A45" s="44" t="s">
        <v>105</v>
      </c>
      <c r="B45" s="274">
        <v>44483</v>
      </c>
      <c r="C45" s="44" t="s">
        <v>1036</v>
      </c>
      <c r="D45" s="275">
        <v>100004951</v>
      </c>
      <c r="E45" s="44" t="s">
        <v>716</v>
      </c>
      <c r="F45" s="44" t="s">
        <v>717</v>
      </c>
      <c r="G45" s="44" t="s">
        <v>921</v>
      </c>
      <c r="H45" s="44">
        <v>242.97524999999999</v>
      </c>
      <c r="I45" s="44">
        <v>0</v>
      </c>
      <c r="J45" s="44">
        <v>0</v>
      </c>
      <c r="K45" s="44">
        <v>1</v>
      </c>
      <c r="L45" s="277">
        <v>1400</v>
      </c>
      <c r="M45" s="269">
        <f t="shared" si="0"/>
        <v>1157.02475</v>
      </c>
    </row>
    <row r="46" spans="1:13" ht="30" outlineLevel="2" x14ac:dyDescent="0.25">
      <c r="A46" s="44" t="s">
        <v>105</v>
      </c>
      <c r="B46" s="274">
        <v>44483</v>
      </c>
      <c r="C46" s="44" t="s">
        <v>1036</v>
      </c>
      <c r="D46" s="275">
        <v>100004951</v>
      </c>
      <c r="E46" s="44" t="s">
        <v>915</v>
      </c>
      <c r="F46" s="44" t="s">
        <v>717</v>
      </c>
      <c r="G46" s="44" t="s">
        <v>921</v>
      </c>
      <c r="H46" s="44">
        <v>433.88414999999998</v>
      </c>
      <c r="I46" s="44">
        <v>0</v>
      </c>
      <c r="J46" s="44">
        <v>0</v>
      </c>
      <c r="K46" s="44">
        <v>1</v>
      </c>
      <c r="L46" s="277">
        <v>4000</v>
      </c>
      <c r="M46" s="269">
        <f t="shared" si="0"/>
        <v>3566.1158500000001</v>
      </c>
    </row>
    <row r="47" spans="1:13" outlineLevel="2" x14ac:dyDescent="0.25">
      <c r="A47" s="44" t="s">
        <v>105</v>
      </c>
      <c r="B47" s="274">
        <v>44483</v>
      </c>
      <c r="C47" s="44" t="s">
        <v>1036</v>
      </c>
      <c r="D47" s="275">
        <v>100004951</v>
      </c>
      <c r="E47" s="44" t="s">
        <v>922</v>
      </c>
      <c r="F47" s="44" t="s">
        <v>923</v>
      </c>
      <c r="G47" s="44" t="s">
        <v>921</v>
      </c>
      <c r="H47" s="44">
        <v>0</v>
      </c>
      <c r="I47" s="44">
        <v>0</v>
      </c>
      <c r="J47" s="44">
        <v>0</v>
      </c>
      <c r="K47" s="44">
        <v>1</v>
      </c>
      <c r="L47" s="44">
        <v>580</v>
      </c>
      <c r="M47" s="269">
        <f t="shared" si="0"/>
        <v>580</v>
      </c>
    </row>
    <row r="48" spans="1:13" outlineLevel="2" x14ac:dyDescent="0.25">
      <c r="A48" s="44" t="s">
        <v>105</v>
      </c>
      <c r="B48" s="274">
        <v>44498</v>
      </c>
      <c r="C48" s="44" t="s">
        <v>1036</v>
      </c>
      <c r="D48" s="275">
        <v>100004988</v>
      </c>
      <c r="E48" s="44" t="s">
        <v>716</v>
      </c>
      <c r="F48" s="44" t="s">
        <v>717</v>
      </c>
      <c r="G48" s="44" t="s">
        <v>921</v>
      </c>
      <c r="H48" s="44">
        <v>163.14060000000001</v>
      </c>
      <c r="I48" s="44">
        <v>0</v>
      </c>
      <c r="J48" s="44">
        <v>0</v>
      </c>
      <c r="K48" s="44">
        <v>1</v>
      </c>
      <c r="L48" s="44">
        <v>940</v>
      </c>
      <c r="M48" s="269">
        <f t="shared" si="0"/>
        <v>776.85940000000005</v>
      </c>
    </row>
    <row r="49" spans="1:13" ht="30" outlineLevel="2" x14ac:dyDescent="0.25">
      <c r="A49" s="44" t="s">
        <v>105</v>
      </c>
      <c r="B49" s="274">
        <v>44498</v>
      </c>
      <c r="C49" s="44" t="s">
        <v>1036</v>
      </c>
      <c r="D49" s="275">
        <v>100004988</v>
      </c>
      <c r="E49" s="44" t="s">
        <v>915</v>
      </c>
      <c r="F49" s="44" t="s">
        <v>717</v>
      </c>
      <c r="G49" s="44" t="s">
        <v>921</v>
      </c>
      <c r="H49" s="44">
        <v>86.776200000000003</v>
      </c>
      <c r="I49" s="44">
        <v>0</v>
      </c>
      <c r="J49" s="44">
        <v>0</v>
      </c>
      <c r="K49" s="44">
        <v>1</v>
      </c>
      <c r="L49" s="44">
        <v>800</v>
      </c>
      <c r="M49" s="269">
        <f t="shared" si="0"/>
        <v>713.22379999999998</v>
      </c>
    </row>
    <row r="50" spans="1:13" outlineLevel="1" x14ac:dyDescent="0.25">
      <c r="A50" s="282" t="s">
        <v>640</v>
      </c>
      <c r="B50" s="741"/>
      <c r="C50" s="742"/>
      <c r="D50" s="742"/>
      <c r="E50" s="742"/>
      <c r="F50" s="742"/>
      <c r="G50" s="743"/>
      <c r="H50" s="283"/>
      <c r="I50" s="283"/>
      <c r="J50" s="283"/>
      <c r="K50" s="283"/>
      <c r="L50" s="283"/>
      <c r="M50" s="285">
        <f>SUBTOTAL(9,M30:M49)</f>
        <v>31646.703800000003</v>
      </c>
    </row>
    <row r="51" spans="1:13" outlineLevel="2" x14ac:dyDescent="0.25">
      <c r="A51" s="44" t="s">
        <v>117</v>
      </c>
      <c r="B51" s="274">
        <v>44470</v>
      </c>
      <c r="C51" s="44" t="s">
        <v>1034</v>
      </c>
      <c r="D51" s="275">
        <v>10400560760</v>
      </c>
      <c r="E51" s="44" t="s">
        <v>716</v>
      </c>
      <c r="F51" s="44" t="s">
        <v>717</v>
      </c>
      <c r="G51" s="44"/>
      <c r="H51" s="44"/>
      <c r="I51" s="44"/>
      <c r="J51" s="44"/>
      <c r="K51" s="44"/>
      <c r="L51" s="44"/>
      <c r="M51" s="276">
        <v>4892.5600000000004</v>
      </c>
    </row>
    <row r="52" spans="1:13" outlineLevel="2" x14ac:dyDescent="0.25">
      <c r="A52" s="44" t="s">
        <v>117</v>
      </c>
      <c r="B52" s="274">
        <v>44470</v>
      </c>
      <c r="C52" s="44" t="s">
        <v>1034</v>
      </c>
      <c r="D52" s="275">
        <v>10400572393</v>
      </c>
      <c r="E52" s="44" t="s">
        <v>716</v>
      </c>
      <c r="F52" s="44" t="s">
        <v>717</v>
      </c>
      <c r="G52" s="44"/>
      <c r="H52" s="44"/>
      <c r="I52" s="44"/>
      <c r="J52" s="44"/>
      <c r="K52" s="44"/>
      <c r="L52" s="44"/>
      <c r="M52" s="276">
        <v>381.82</v>
      </c>
    </row>
    <row r="53" spans="1:13" outlineLevel="2" x14ac:dyDescent="0.25">
      <c r="A53" s="44" t="s">
        <v>117</v>
      </c>
      <c r="B53" s="274">
        <v>44470</v>
      </c>
      <c r="C53" s="44" t="s">
        <v>1034</v>
      </c>
      <c r="D53" s="275">
        <v>60000274229</v>
      </c>
      <c r="E53" s="44" t="s">
        <v>718</v>
      </c>
      <c r="F53" s="44" t="s">
        <v>717</v>
      </c>
      <c r="G53" s="44"/>
      <c r="H53" s="44"/>
      <c r="I53" s="44"/>
      <c r="J53" s="44"/>
      <c r="K53" s="44"/>
      <c r="L53" s="44"/>
      <c r="M53" s="276">
        <v>1116.3900000000001</v>
      </c>
    </row>
    <row r="54" spans="1:13" outlineLevel="2" x14ac:dyDescent="0.25">
      <c r="A54" s="44" t="s">
        <v>117</v>
      </c>
      <c r="B54" s="274">
        <v>44470</v>
      </c>
      <c r="C54" s="44" t="s">
        <v>1034</v>
      </c>
      <c r="D54" s="275">
        <v>65100019280</v>
      </c>
      <c r="E54" s="44" t="s">
        <v>720</v>
      </c>
      <c r="F54" s="44" t="s">
        <v>721</v>
      </c>
      <c r="G54" s="44"/>
      <c r="H54" s="44"/>
      <c r="I54" s="44"/>
      <c r="J54" s="44"/>
      <c r="K54" s="44"/>
      <c r="L54" s="44"/>
      <c r="M54" s="276">
        <v>1922</v>
      </c>
    </row>
    <row r="55" spans="1:13" outlineLevel="2" x14ac:dyDescent="0.25">
      <c r="A55" s="44" t="s">
        <v>117</v>
      </c>
      <c r="B55" s="274">
        <v>44470</v>
      </c>
      <c r="C55" s="44" t="s">
        <v>1034</v>
      </c>
      <c r="D55" s="275">
        <v>65100019280</v>
      </c>
      <c r="E55" s="44" t="s">
        <v>720</v>
      </c>
      <c r="F55" s="44" t="s">
        <v>722</v>
      </c>
      <c r="G55" s="44"/>
      <c r="H55" s="44"/>
      <c r="I55" s="44"/>
      <c r="J55" s="44"/>
      <c r="K55" s="44"/>
      <c r="L55" s="44"/>
      <c r="M55" s="276">
        <v>272</v>
      </c>
    </row>
    <row r="56" spans="1:13" ht="30" outlineLevel="2" x14ac:dyDescent="0.25">
      <c r="A56" s="44" t="s">
        <v>117</v>
      </c>
      <c r="B56" s="274">
        <v>44473</v>
      </c>
      <c r="C56" s="44" t="s">
        <v>1034</v>
      </c>
      <c r="D56" s="275">
        <v>6100301594</v>
      </c>
      <c r="E56" s="44" t="s">
        <v>730</v>
      </c>
      <c r="F56" s="44" t="s">
        <v>717</v>
      </c>
      <c r="G56" s="44"/>
      <c r="H56" s="44"/>
      <c r="I56" s="44"/>
      <c r="J56" s="44"/>
      <c r="K56" s="44"/>
      <c r="L56" s="44"/>
      <c r="M56" s="276">
        <v>686</v>
      </c>
    </row>
    <row r="57" spans="1:13" outlineLevel="2" x14ac:dyDescent="0.25">
      <c r="A57" s="44" t="s">
        <v>117</v>
      </c>
      <c r="B57" s="274">
        <v>44473</v>
      </c>
      <c r="C57" s="44" t="s">
        <v>1034</v>
      </c>
      <c r="D57" s="275">
        <v>501300176437</v>
      </c>
      <c r="E57" s="44" t="s">
        <v>723</v>
      </c>
      <c r="F57" s="44" t="s">
        <v>717</v>
      </c>
      <c r="G57" s="44"/>
      <c r="H57" s="44"/>
      <c r="I57" s="44"/>
      <c r="J57" s="44"/>
      <c r="K57" s="44"/>
      <c r="L57" s="44"/>
      <c r="M57" s="276">
        <v>102.85</v>
      </c>
    </row>
    <row r="58" spans="1:13" outlineLevel="2" x14ac:dyDescent="0.25">
      <c r="A58" s="44" t="s">
        <v>117</v>
      </c>
      <c r="B58" s="274">
        <v>44484</v>
      </c>
      <c r="C58" s="44" t="s">
        <v>1034</v>
      </c>
      <c r="D58" s="275">
        <v>600011030</v>
      </c>
      <c r="E58" s="44" t="s">
        <v>731</v>
      </c>
      <c r="F58" s="44" t="s">
        <v>732</v>
      </c>
      <c r="G58" s="44"/>
      <c r="H58" s="44"/>
      <c r="I58" s="44"/>
      <c r="J58" s="44"/>
      <c r="K58" s="44"/>
      <c r="L58" s="44"/>
      <c r="M58" s="276">
        <v>6000</v>
      </c>
    </row>
    <row r="59" spans="1:13" outlineLevel="2" x14ac:dyDescent="0.25">
      <c r="A59" s="44" t="s">
        <v>117</v>
      </c>
      <c r="B59" s="274">
        <v>44491</v>
      </c>
      <c r="C59" s="44" t="s">
        <v>1034</v>
      </c>
      <c r="D59" s="275">
        <v>10400676781</v>
      </c>
      <c r="E59" s="44" t="s">
        <v>716</v>
      </c>
      <c r="F59" s="44" t="s">
        <v>717</v>
      </c>
      <c r="G59" s="44"/>
      <c r="H59" s="44"/>
      <c r="I59" s="44"/>
      <c r="J59" s="44"/>
      <c r="K59" s="44"/>
      <c r="L59" s="44"/>
      <c r="M59" s="276">
        <v>381.82</v>
      </c>
    </row>
    <row r="60" spans="1:13" outlineLevel="2" x14ac:dyDescent="0.25">
      <c r="A60" s="44" t="s">
        <v>117</v>
      </c>
      <c r="B60" s="274">
        <v>44491</v>
      </c>
      <c r="C60" s="44" t="s">
        <v>1034</v>
      </c>
      <c r="D60" s="275">
        <v>10400754323</v>
      </c>
      <c r="E60" s="44" t="s">
        <v>716</v>
      </c>
      <c r="F60" s="44" t="s">
        <v>717</v>
      </c>
      <c r="G60" s="44"/>
      <c r="H60" s="44"/>
      <c r="I60" s="44"/>
      <c r="J60" s="44"/>
      <c r="K60" s="44"/>
      <c r="L60" s="44"/>
      <c r="M60" s="276">
        <v>4180.17</v>
      </c>
    </row>
    <row r="61" spans="1:13" outlineLevel="2" x14ac:dyDescent="0.25">
      <c r="A61" s="44" t="s">
        <v>117</v>
      </c>
      <c r="B61" s="274">
        <v>44495</v>
      </c>
      <c r="C61" s="44" t="s">
        <v>1034</v>
      </c>
      <c r="D61" s="275">
        <v>500003105</v>
      </c>
      <c r="E61" s="44" t="s">
        <v>724</v>
      </c>
      <c r="F61" s="44" t="s">
        <v>725</v>
      </c>
      <c r="G61" s="44"/>
      <c r="H61" s="44"/>
      <c r="I61" s="44"/>
      <c r="J61" s="44"/>
      <c r="K61" s="44"/>
      <c r="L61" s="44"/>
      <c r="M61" s="276">
        <v>898.98</v>
      </c>
    </row>
    <row r="62" spans="1:13" outlineLevel="2" x14ac:dyDescent="0.25">
      <c r="A62" s="44" t="s">
        <v>117</v>
      </c>
      <c r="B62" s="274">
        <v>44496</v>
      </c>
      <c r="C62" s="44" t="s">
        <v>1034</v>
      </c>
      <c r="D62" s="275">
        <v>65100019922</v>
      </c>
      <c r="E62" s="44" t="s">
        <v>720</v>
      </c>
      <c r="F62" s="44" t="s">
        <v>726</v>
      </c>
      <c r="G62" s="44"/>
      <c r="H62" s="44"/>
      <c r="I62" s="44"/>
      <c r="J62" s="44"/>
      <c r="K62" s="44"/>
      <c r="L62" s="44"/>
      <c r="M62" s="276">
        <v>1922</v>
      </c>
    </row>
    <row r="63" spans="1:13" outlineLevel="2" x14ac:dyDescent="0.25">
      <c r="A63" s="44" t="s">
        <v>117</v>
      </c>
      <c r="B63" s="274">
        <v>44496</v>
      </c>
      <c r="C63" s="44" t="s">
        <v>1034</v>
      </c>
      <c r="D63" s="275">
        <v>65100019922</v>
      </c>
      <c r="E63" s="44" t="s">
        <v>720</v>
      </c>
      <c r="F63" s="44" t="s">
        <v>727</v>
      </c>
      <c r="G63" s="44"/>
      <c r="H63" s="44"/>
      <c r="I63" s="44"/>
      <c r="J63" s="44"/>
      <c r="K63" s="44"/>
      <c r="L63" s="44"/>
      <c r="M63" s="276">
        <v>272</v>
      </c>
    </row>
    <row r="64" spans="1:13" outlineLevel="2" x14ac:dyDescent="0.25">
      <c r="A64" s="44" t="s">
        <v>117</v>
      </c>
      <c r="B64" s="274">
        <v>44500</v>
      </c>
      <c r="C64" s="44" t="s">
        <v>1034</v>
      </c>
      <c r="D64" s="275">
        <v>60000298248</v>
      </c>
      <c r="E64" s="44" t="s">
        <v>718</v>
      </c>
      <c r="F64" s="44" t="s">
        <v>717</v>
      </c>
      <c r="G64" s="44"/>
      <c r="H64" s="44"/>
      <c r="I64" s="44"/>
      <c r="J64" s="44"/>
      <c r="K64" s="44"/>
      <c r="L64" s="44"/>
      <c r="M64" s="276">
        <v>1240.1600000000001</v>
      </c>
    </row>
    <row r="65" spans="1:13" outlineLevel="2" x14ac:dyDescent="0.25">
      <c r="A65" s="44" t="s">
        <v>117</v>
      </c>
      <c r="B65" s="274">
        <v>44483</v>
      </c>
      <c r="C65" s="44" t="s">
        <v>1036</v>
      </c>
      <c r="D65" s="275">
        <v>100004947</v>
      </c>
      <c r="E65" s="44" t="s">
        <v>716</v>
      </c>
      <c r="F65" s="44" t="s">
        <v>717</v>
      </c>
      <c r="G65" s="44" t="s">
        <v>924</v>
      </c>
      <c r="H65" s="44">
        <v>97.190100000000001</v>
      </c>
      <c r="I65" s="44">
        <v>0</v>
      </c>
      <c r="J65" s="44">
        <v>0</v>
      </c>
      <c r="K65" s="44">
        <v>1</v>
      </c>
      <c r="L65" s="44">
        <v>560</v>
      </c>
      <c r="M65" s="269">
        <f t="shared" ref="M65:M70" si="1">L65-(H65+I65+J65)*K65</f>
        <v>462.80989999999997</v>
      </c>
    </row>
    <row r="66" spans="1:13" ht="30" outlineLevel="2" x14ac:dyDescent="0.25">
      <c r="A66" s="44" t="s">
        <v>117</v>
      </c>
      <c r="B66" s="274">
        <v>44483</v>
      </c>
      <c r="C66" s="44" t="s">
        <v>1036</v>
      </c>
      <c r="D66" s="275">
        <v>100004947</v>
      </c>
      <c r="E66" s="44" t="s">
        <v>915</v>
      </c>
      <c r="F66" s="44" t="s">
        <v>717</v>
      </c>
      <c r="G66" s="44" t="s">
        <v>924</v>
      </c>
      <c r="H66" s="44">
        <v>173.55449999999999</v>
      </c>
      <c r="I66" s="44">
        <v>0</v>
      </c>
      <c r="J66" s="44">
        <v>0</v>
      </c>
      <c r="K66" s="44">
        <v>1</v>
      </c>
      <c r="L66" s="277">
        <v>1600</v>
      </c>
      <c r="M66" s="269">
        <f t="shared" si="1"/>
        <v>1426.4455</v>
      </c>
    </row>
    <row r="67" spans="1:13" outlineLevel="2" x14ac:dyDescent="0.25">
      <c r="A67" s="44" t="s">
        <v>117</v>
      </c>
      <c r="B67" s="274">
        <v>44483</v>
      </c>
      <c r="C67" s="44" t="s">
        <v>1036</v>
      </c>
      <c r="D67" s="275">
        <v>100004949</v>
      </c>
      <c r="E67" s="44" t="s">
        <v>716</v>
      </c>
      <c r="F67" s="44" t="s">
        <v>717</v>
      </c>
      <c r="G67" s="44" t="s">
        <v>925</v>
      </c>
      <c r="H67" s="44">
        <v>173.55449999999999</v>
      </c>
      <c r="I67" s="44">
        <v>0</v>
      </c>
      <c r="J67" s="44">
        <v>0</v>
      </c>
      <c r="K67" s="44">
        <v>1</v>
      </c>
      <c r="L67" s="277">
        <v>1000</v>
      </c>
      <c r="M67" s="269">
        <f t="shared" si="1"/>
        <v>826.44550000000004</v>
      </c>
    </row>
    <row r="68" spans="1:13" ht="30" outlineLevel="2" x14ac:dyDescent="0.25">
      <c r="A68" s="44" t="s">
        <v>117</v>
      </c>
      <c r="B68" s="274">
        <v>44483</v>
      </c>
      <c r="C68" s="44" t="s">
        <v>1036</v>
      </c>
      <c r="D68" s="275">
        <v>100004949</v>
      </c>
      <c r="E68" s="44" t="s">
        <v>915</v>
      </c>
      <c r="F68" s="44" t="s">
        <v>717</v>
      </c>
      <c r="G68" s="44" t="s">
        <v>925</v>
      </c>
      <c r="H68" s="44">
        <v>173.55449999999999</v>
      </c>
      <c r="I68" s="44">
        <v>0</v>
      </c>
      <c r="J68" s="44">
        <v>0</v>
      </c>
      <c r="K68" s="44">
        <v>1</v>
      </c>
      <c r="L68" s="277">
        <v>1600</v>
      </c>
      <c r="M68" s="269">
        <f t="shared" si="1"/>
        <v>1426.4455</v>
      </c>
    </row>
    <row r="69" spans="1:13" outlineLevel="2" x14ac:dyDescent="0.25">
      <c r="A69" s="44" t="s">
        <v>117</v>
      </c>
      <c r="B69" s="274">
        <v>44498</v>
      </c>
      <c r="C69" s="44" t="s">
        <v>1036</v>
      </c>
      <c r="D69" s="275">
        <v>100004987</v>
      </c>
      <c r="E69" s="44" t="s">
        <v>716</v>
      </c>
      <c r="F69" s="44" t="s">
        <v>717</v>
      </c>
      <c r="G69" s="44" t="s">
        <v>925</v>
      </c>
      <c r="H69" s="44">
        <v>218.6772</v>
      </c>
      <c r="I69" s="44">
        <v>0</v>
      </c>
      <c r="J69" s="44">
        <v>0</v>
      </c>
      <c r="K69" s="44">
        <v>1</v>
      </c>
      <c r="L69" s="277">
        <v>1260</v>
      </c>
      <c r="M69" s="269">
        <f t="shared" si="1"/>
        <v>1041.3227999999999</v>
      </c>
    </row>
    <row r="70" spans="1:13" ht="30" outlineLevel="2" x14ac:dyDescent="0.25">
      <c r="A70" s="44" t="s">
        <v>117</v>
      </c>
      <c r="B70" s="274">
        <v>44498</v>
      </c>
      <c r="C70" s="44" t="s">
        <v>1036</v>
      </c>
      <c r="D70" s="275">
        <v>100004987</v>
      </c>
      <c r="E70" s="44" t="s">
        <v>915</v>
      </c>
      <c r="F70" s="44" t="s">
        <v>717</v>
      </c>
      <c r="G70" s="44" t="s">
        <v>925</v>
      </c>
      <c r="H70" s="44">
        <v>520.66139999999996</v>
      </c>
      <c r="I70" s="44">
        <v>0</v>
      </c>
      <c r="J70" s="44">
        <v>0</v>
      </c>
      <c r="K70" s="44">
        <v>1</v>
      </c>
      <c r="L70" s="277">
        <v>4800</v>
      </c>
      <c r="M70" s="269">
        <f t="shared" si="1"/>
        <v>4279.3386</v>
      </c>
    </row>
    <row r="71" spans="1:13" outlineLevel="1" x14ac:dyDescent="0.25">
      <c r="A71" s="282" t="s">
        <v>641</v>
      </c>
      <c r="B71" s="741"/>
      <c r="C71" s="742"/>
      <c r="D71" s="742"/>
      <c r="E71" s="742"/>
      <c r="F71" s="742"/>
      <c r="G71" s="743"/>
      <c r="H71" s="283"/>
      <c r="I71" s="283"/>
      <c r="J71" s="283"/>
      <c r="K71" s="283"/>
      <c r="L71" s="284"/>
      <c r="M71" s="285">
        <f>SUBTOTAL(9,M51:M70)</f>
        <v>33731.55780000001</v>
      </c>
    </row>
    <row r="72" spans="1:13" outlineLevel="2" x14ac:dyDescent="0.25">
      <c r="A72" s="44" t="s">
        <v>123</v>
      </c>
      <c r="B72" s="274">
        <v>44470</v>
      </c>
      <c r="C72" s="44" t="s">
        <v>1034</v>
      </c>
      <c r="D72" s="275">
        <v>60000274229</v>
      </c>
      <c r="E72" s="44" t="s">
        <v>718</v>
      </c>
      <c r="F72" s="44" t="s">
        <v>717</v>
      </c>
      <c r="G72" s="44"/>
      <c r="H72" s="44"/>
      <c r="I72" s="44"/>
      <c r="J72" s="44"/>
      <c r="K72" s="44"/>
      <c r="L72" s="44"/>
      <c r="M72" s="276">
        <v>2607.2800000000002</v>
      </c>
    </row>
    <row r="73" spans="1:13" outlineLevel="2" x14ac:dyDescent="0.25">
      <c r="A73" s="44" t="s">
        <v>123</v>
      </c>
      <c r="B73" s="274">
        <v>44470</v>
      </c>
      <c r="C73" s="44" t="s">
        <v>1034</v>
      </c>
      <c r="D73" s="275">
        <v>60000285996</v>
      </c>
      <c r="E73" s="44" t="s">
        <v>718</v>
      </c>
      <c r="F73" s="44" t="s">
        <v>717</v>
      </c>
      <c r="G73" s="44"/>
      <c r="H73" s="44"/>
      <c r="I73" s="44"/>
      <c r="J73" s="44"/>
      <c r="K73" s="44"/>
      <c r="L73" s="44"/>
      <c r="M73" s="276">
        <v>1441.85</v>
      </c>
    </row>
    <row r="74" spans="1:13" outlineLevel="2" x14ac:dyDescent="0.25">
      <c r="A74" s="44" t="s">
        <v>123</v>
      </c>
      <c r="B74" s="274">
        <v>44470</v>
      </c>
      <c r="C74" s="44" t="s">
        <v>1034</v>
      </c>
      <c r="D74" s="275">
        <v>65100019280</v>
      </c>
      <c r="E74" s="44" t="s">
        <v>720</v>
      </c>
      <c r="F74" s="44" t="s">
        <v>721</v>
      </c>
      <c r="G74" s="44"/>
      <c r="H74" s="44"/>
      <c r="I74" s="44"/>
      <c r="J74" s="44"/>
      <c r="K74" s="44"/>
      <c r="L74" s="44"/>
      <c r="M74" s="276">
        <v>1922</v>
      </c>
    </row>
    <row r="75" spans="1:13" outlineLevel="2" x14ac:dyDescent="0.25">
      <c r="A75" s="44" t="s">
        <v>123</v>
      </c>
      <c r="B75" s="274">
        <v>44470</v>
      </c>
      <c r="C75" s="44" t="s">
        <v>1034</v>
      </c>
      <c r="D75" s="275">
        <v>65100019280</v>
      </c>
      <c r="E75" s="44" t="s">
        <v>720</v>
      </c>
      <c r="F75" s="44" t="s">
        <v>722</v>
      </c>
      <c r="G75" s="44"/>
      <c r="H75" s="44"/>
      <c r="I75" s="44"/>
      <c r="J75" s="44"/>
      <c r="K75" s="44"/>
      <c r="L75" s="44"/>
      <c r="M75" s="276">
        <v>272</v>
      </c>
    </row>
    <row r="76" spans="1:13" outlineLevel="2" x14ac:dyDescent="0.25">
      <c r="A76" s="44" t="s">
        <v>123</v>
      </c>
      <c r="B76" s="274">
        <v>44491</v>
      </c>
      <c r="C76" s="44" t="s">
        <v>1034</v>
      </c>
      <c r="D76" s="275">
        <v>10400754323</v>
      </c>
      <c r="E76" s="44" t="s">
        <v>716</v>
      </c>
      <c r="F76" s="44" t="s">
        <v>717</v>
      </c>
      <c r="G76" s="44"/>
      <c r="H76" s="44"/>
      <c r="I76" s="44"/>
      <c r="J76" s="44"/>
      <c r="K76" s="44"/>
      <c r="L76" s="44"/>
      <c r="M76" s="276">
        <v>5169.42</v>
      </c>
    </row>
    <row r="77" spans="1:13" outlineLevel="2" x14ac:dyDescent="0.25">
      <c r="A77" s="44" t="s">
        <v>123</v>
      </c>
      <c r="B77" s="274">
        <v>44495</v>
      </c>
      <c r="C77" s="44" t="s">
        <v>1034</v>
      </c>
      <c r="D77" s="275">
        <v>500003105</v>
      </c>
      <c r="E77" s="44" t="s">
        <v>724</v>
      </c>
      <c r="F77" s="44" t="s">
        <v>725</v>
      </c>
      <c r="G77" s="44"/>
      <c r="H77" s="44"/>
      <c r="I77" s="44"/>
      <c r="J77" s="44"/>
      <c r="K77" s="44"/>
      <c r="L77" s="44"/>
      <c r="M77" s="276">
        <v>898.98</v>
      </c>
    </row>
    <row r="78" spans="1:13" outlineLevel="2" x14ac:dyDescent="0.25">
      <c r="A78" s="44" t="s">
        <v>123</v>
      </c>
      <c r="B78" s="274">
        <v>44496</v>
      </c>
      <c r="C78" s="44" t="s">
        <v>1034</v>
      </c>
      <c r="D78" s="275">
        <v>65100019922</v>
      </c>
      <c r="E78" s="44" t="s">
        <v>720</v>
      </c>
      <c r="F78" s="44" t="s">
        <v>726</v>
      </c>
      <c r="G78" s="44"/>
      <c r="H78" s="44"/>
      <c r="I78" s="44"/>
      <c r="J78" s="44"/>
      <c r="K78" s="44"/>
      <c r="L78" s="44"/>
      <c r="M78" s="276">
        <v>1922</v>
      </c>
    </row>
    <row r="79" spans="1:13" outlineLevel="2" x14ac:dyDescent="0.25">
      <c r="A79" s="44" t="s">
        <v>123</v>
      </c>
      <c r="B79" s="274">
        <v>44496</v>
      </c>
      <c r="C79" s="44" t="s">
        <v>1034</v>
      </c>
      <c r="D79" s="275">
        <v>65100019922</v>
      </c>
      <c r="E79" s="44" t="s">
        <v>720</v>
      </c>
      <c r="F79" s="44" t="s">
        <v>727</v>
      </c>
      <c r="G79" s="44"/>
      <c r="H79" s="44"/>
      <c r="I79" s="44"/>
      <c r="J79" s="44"/>
      <c r="K79" s="44"/>
      <c r="L79" s="44"/>
      <c r="M79" s="276">
        <v>272</v>
      </c>
    </row>
    <row r="80" spans="1:13" outlineLevel="2" x14ac:dyDescent="0.25">
      <c r="A80" s="44" t="s">
        <v>123</v>
      </c>
      <c r="B80" s="274">
        <v>44498</v>
      </c>
      <c r="C80" s="44" t="s">
        <v>1032</v>
      </c>
      <c r="D80" s="275">
        <v>6633</v>
      </c>
      <c r="E80" s="44" t="s">
        <v>846</v>
      </c>
      <c r="F80" s="44" t="s">
        <v>855</v>
      </c>
      <c r="G80" s="44" t="s">
        <v>856</v>
      </c>
      <c r="H80" s="44"/>
      <c r="I80" s="44"/>
      <c r="J80" s="44"/>
      <c r="K80" s="44"/>
      <c r="L80" s="44"/>
      <c r="M80" s="276">
        <v>5044.22</v>
      </c>
    </row>
    <row r="81" spans="1:13" outlineLevel="2" x14ac:dyDescent="0.25">
      <c r="A81" s="44" t="s">
        <v>123</v>
      </c>
      <c r="B81" s="274">
        <v>44498</v>
      </c>
      <c r="C81" s="44" t="s">
        <v>1032</v>
      </c>
      <c r="D81" s="275">
        <v>6633</v>
      </c>
      <c r="E81" s="44" t="s">
        <v>846</v>
      </c>
      <c r="F81" s="44" t="s">
        <v>847</v>
      </c>
      <c r="G81" s="44" t="s">
        <v>848</v>
      </c>
      <c r="H81" s="44"/>
      <c r="I81" s="44"/>
      <c r="J81" s="44"/>
      <c r="K81" s="44"/>
      <c r="L81" s="44"/>
      <c r="M81" s="276">
        <v>1570.84</v>
      </c>
    </row>
    <row r="82" spans="1:13" outlineLevel="2" x14ac:dyDescent="0.25">
      <c r="A82" s="44" t="s">
        <v>123</v>
      </c>
      <c r="B82" s="274">
        <v>44498</v>
      </c>
      <c r="C82" s="44" t="s">
        <v>1032</v>
      </c>
      <c r="D82" s="275">
        <v>6633</v>
      </c>
      <c r="E82" s="44" t="s">
        <v>846</v>
      </c>
      <c r="F82" s="44" t="s">
        <v>851</v>
      </c>
      <c r="G82" s="44" t="s">
        <v>852</v>
      </c>
      <c r="H82" s="44"/>
      <c r="I82" s="44"/>
      <c r="J82" s="44"/>
      <c r="K82" s="44"/>
      <c r="L82" s="44"/>
      <c r="M82" s="276">
        <v>1108.24</v>
      </c>
    </row>
    <row r="83" spans="1:13" ht="30" outlineLevel="2" x14ac:dyDescent="0.25">
      <c r="A83" s="44" t="s">
        <v>123</v>
      </c>
      <c r="B83" s="274">
        <v>44498</v>
      </c>
      <c r="C83" s="44" t="s">
        <v>1032</v>
      </c>
      <c r="D83" s="275">
        <v>6633</v>
      </c>
      <c r="E83" s="44" t="s">
        <v>846</v>
      </c>
      <c r="F83" s="44" t="s">
        <v>857</v>
      </c>
      <c r="G83" s="44" t="s">
        <v>858</v>
      </c>
      <c r="H83" s="44"/>
      <c r="I83" s="44"/>
      <c r="J83" s="44"/>
      <c r="K83" s="44"/>
      <c r="L83" s="44"/>
      <c r="M83" s="276">
        <v>1852.83</v>
      </c>
    </row>
    <row r="84" spans="1:13" outlineLevel="2" x14ac:dyDescent="0.25">
      <c r="A84" s="44" t="s">
        <v>123</v>
      </c>
      <c r="B84" s="274">
        <v>44498</v>
      </c>
      <c r="C84" s="44" t="s">
        <v>1032</v>
      </c>
      <c r="D84" s="275">
        <v>6633</v>
      </c>
      <c r="E84" s="44" t="s">
        <v>846</v>
      </c>
      <c r="F84" s="44" t="s">
        <v>859</v>
      </c>
      <c r="G84" s="44" t="s">
        <v>860</v>
      </c>
      <c r="H84" s="44"/>
      <c r="I84" s="44"/>
      <c r="J84" s="44"/>
      <c r="K84" s="44"/>
      <c r="L84" s="44"/>
      <c r="M84" s="276">
        <v>1665.8</v>
      </c>
    </row>
    <row r="85" spans="1:13" outlineLevel="2" x14ac:dyDescent="0.25">
      <c r="A85" s="44" t="s">
        <v>123</v>
      </c>
      <c r="B85" s="274">
        <v>44498</v>
      </c>
      <c r="C85" s="44" t="s">
        <v>1032</v>
      </c>
      <c r="D85" s="275">
        <v>6633</v>
      </c>
      <c r="E85" s="44" t="s">
        <v>846</v>
      </c>
      <c r="F85" s="44" t="s">
        <v>853</v>
      </c>
      <c r="G85" s="44" t="s">
        <v>854</v>
      </c>
      <c r="H85" s="44"/>
      <c r="I85" s="44"/>
      <c r="J85" s="44"/>
      <c r="K85" s="44"/>
      <c r="L85" s="44"/>
      <c r="M85" s="276">
        <v>3819.51</v>
      </c>
    </row>
    <row r="86" spans="1:13" outlineLevel="2" x14ac:dyDescent="0.25">
      <c r="A86" s="44" t="s">
        <v>123</v>
      </c>
      <c r="B86" s="274">
        <v>44483</v>
      </c>
      <c r="C86" s="44" t="s">
        <v>1036</v>
      </c>
      <c r="D86" s="275">
        <v>100004952</v>
      </c>
      <c r="E86" s="44" t="s">
        <v>716</v>
      </c>
      <c r="F86" s="44" t="s">
        <v>717</v>
      </c>
      <c r="G86" s="44" t="s">
        <v>926</v>
      </c>
      <c r="H86" s="44">
        <v>340.16534999999999</v>
      </c>
      <c r="I86" s="44">
        <v>0</v>
      </c>
      <c r="J86" s="44">
        <v>0</v>
      </c>
      <c r="K86" s="44">
        <v>1</v>
      </c>
      <c r="L86" s="277">
        <v>1960</v>
      </c>
      <c r="M86" s="269">
        <f t="shared" ref="M86:M92" si="2">L86-(H86+I86+J86)*K86</f>
        <v>1619.83465</v>
      </c>
    </row>
    <row r="87" spans="1:13" ht="30" outlineLevel="2" x14ac:dyDescent="0.25">
      <c r="A87" s="44" t="s">
        <v>123</v>
      </c>
      <c r="B87" s="274">
        <v>44483</v>
      </c>
      <c r="C87" s="44" t="s">
        <v>1036</v>
      </c>
      <c r="D87" s="275">
        <v>100004952</v>
      </c>
      <c r="E87" s="44" t="s">
        <v>915</v>
      </c>
      <c r="F87" s="44" t="s">
        <v>717</v>
      </c>
      <c r="G87" s="44" t="s">
        <v>926</v>
      </c>
      <c r="H87" s="44">
        <v>694.21484999999996</v>
      </c>
      <c r="I87" s="44">
        <v>0</v>
      </c>
      <c r="J87" s="44">
        <v>0</v>
      </c>
      <c r="K87" s="44">
        <v>1</v>
      </c>
      <c r="L87" s="277">
        <v>6400</v>
      </c>
      <c r="M87" s="269">
        <f t="shared" si="2"/>
        <v>5705.7851499999997</v>
      </c>
    </row>
    <row r="88" spans="1:13" outlineLevel="2" x14ac:dyDescent="0.25">
      <c r="A88" s="44" t="s">
        <v>123</v>
      </c>
      <c r="B88" s="274">
        <v>44490</v>
      </c>
      <c r="C88" s="44" t="s">
        <v>1036</v>
      </c>
      <c r="D88" s="275">
        <v>100004964</v>
      </c>
      <c r="E88" s="44" t="s">
        <v>716</v>
      </c>
      <c r="F88" s="44" t="s">
        <v>717</v>
      </c>
      <c r="G88" s="44" t="s">
        <v>926</v>
      </c>
      <c r="H88" s="44">
        <v>97.190100000000001</v>
      </c>
      <c r="I88" s="44">
        <v>0</v>
      </c>
      <c r="J88" s="44">
        <v>0</v>
      </c>
      <c r="K88" s="44">
        <v>1</v>
      </c>
      <c r="L88" s="44">
        <v>560</v>
      </c>
      <c r="M88" s="269">
        <f t="shared" si="2"/>
        <v>462.80989999999997</v>
      </c>
    </row>
    <row r="89" spans="1:13" ht="30" outlineLevel="2" x14ac:dyDescent="0.25">
      <c r="A89" s="44" t="s">
        <v>123</v>
      </c>
      <c r="B89" s="274">
        <v>44490</v>
      </c>
      <c r="C89" s="44" t="s">
        <v>1036</v>
      </c>
      <c r="D89" s="275">
        <v>100004964</v>
      </c>
      <c r="E89" s="44" t="s">
        <v>915</v>
      </c>
      <c r="F89" s="44" t="s">
        <v>717</v>
      </c>
      <c r="G89" s="44" t="s">
        <v>926</v>
      </c>
      <c r="H89" s="44">
        <v>173.55449999999999</v>
      </c>
      <c r="I89" s="44">
        <v>0</v>
      </c>
      <c r="J89" s="44">
        <v>0</v>
      </c>
      <c r="K89" s="44">
        <v>1</v>
      </c>
      <c r="L89" s="277">
        <v>1600</v>
      </c>
      <c r="M89" s="269">
        <f t="shared" si="2"/>
        <v>1426.4455</v>
      </c>
    </row>
    <row r="90" spans="1:13" outlineLevel="2" x14ac:dyDescent="0.25">
      <c r="A90" s="44" t="s">
        <v>123</v>
      </c>
      <c r="B90" s="274">
        <v>44490</v>
      </c>
      <c r="C90" s="44" t="s">
        <v>1036</v>
      </c>
      <c r="D90" s="275">
        <v>100004968</v>
      </c>
      <c r="E90" s="44" t="s">
        <v>927</v>
      </c>
      <c r="F90" s="44" t="s">
        <v>928</v>
      </c>
      <c r="G90" s="44" t="s">
        <v>918</v>
      </c>
      <c r="H90" s="44">
        <v>0</v>
      </c>
      <c r="I90" s="44">
        <v>0</v>
      </c>
      <c r="J90" s="44">
        <v>0</v>
      </c>
      <c r="K90" s="44">
        <v>1</v>
      </c>
      <c r="L90" s="277">
        <v>3733</v>
      </c>
      <c r="M90" s="269">
        <f t="shared" si="2"/>
        <v>3733</v>
      </c>
    </row>
    <row r="91" spans="1:13" outlineLevel="2" x14ac:dyDescent="0.25">
      <c r="A91" s="44" t="s">
        <v>123</v>
      </c>
      <c r="B91" s="274">
        <v>44498</v>
      </c>
      <c r="C91" s="44" t="s">
        <v>1036</v>
      </c>
      <c r="D91" s="275">
        <v>100004990</v>
      </c>
      <c r="E91" s="44" t="s">
        <v>716</v>
      </c>
      <c r="F91" s="44" t="s">
        <v>717</v>
      </c>
      <c r="G91" s="44" t="s">
        <v>926</v>
      </c>
      <c r="H91" s="44">
        <v>48.595050000000001</v>
      </c>
      <c r="I91" s="44">
        <v>0</v>
      </c>
      <c r="J91" s="44">
        <v>0</v>
      </c>
      <c r="K91" s="44">
        <v>1</v>
      </c>
      <c r="L91" s="44">
        <v>280</v>
      </c>
      <c r="M91" s="269">
        <f t="shared" si="2"/>
        <v>231.40494999999999</v>
      </c>
    </row>
    <row r="92" spans="1:13" ht="30" outlineLevel="2" x14ac:dyDescent="0.25">
      <c r="A92" s="44" t="s">
        <v>123</v>
      </c>
      <c r="B92" s="274">
        <v>44498</v>
      </c>
      <c r="C92" s="44" t="s">
        <v>1036</v>
      </c>
      <c r="D92" s="275">
        <v>100004990</v>
      </c>
      <c r="E92" s="44" t="s">
        <v>915</v>
      </c>
      <c r="F92" s="44" t="s">
        <v>717</v>
      </c>
      <c r="G92" s="44" t="s">
        <v>926</v>
      </c>
      <c r="H92" s="44">
        <v>86.776200000000003</v>
      </c>
      <c r="I92" s="44">
        <v>0</v>
      </c>
      <c r="J92" s="44">
        <v>0</v>
      </c>
      <c r="K92" s="44">
        <v>1</v>
      </c>
      <c r="L92" s="44">
        <v>800</v>
      </c>
      <c r="M92" s="269">
        <f t="shared" si="2"/>
        <v>713.22379999999998</v>
      </c>
    </row>
    <row r="93" spans="1:13" outlineLevel="1" x14ac:dyDescent="0.25">
      <c r="A93" s="282" t="s">
        <v>642</v>
      </c>
      <c r="B93" s="741"/>
      <c r="C93" s="742"/>
      <c r="D93" s="742"/>
      <c r="E93" s="742"/>
      <c r="F93" s="742"/>
      <c r="G93" s="743"/>
      <c r="H93" s="283"/>
      <c r="I93" s="283"/>
      <c r="J93" s="283"/>
      <c r="K93" s="283"/>
      <c r="L93" s="283"/>
      <c r="M93" s="285">
        <f>SUBTOTAL(9,M72:M92)</f>
        <v>43459.47395</v>
      </c>
    </row>
    <row r="94" spans="1:13" outlineLevel="2" x14ac:dyDescent="0.25">
      <c r="A94" s="44" t="s">
        <v>246</v>
      </c>
      <c r="B94" s="274">
        <v>44474</v>
      </c>
      <c r="C94" s="44" t="s">
        <v>1034</v>
      </c>
      <c r="D94" s="275">
        <v>200000058</v>
      </c>
      <c r="E94" s="44" t="s">
        <v>733</v>
      </c>
      <c r="F94" s="44" t="s">
        <v>734</v>
      </c>
      <c r="G94" s="44"/>
      <c r="H94" s="44"/>
      <c r="I94" s="44"/>
      <c r="J94" s="44"/>
      <c r="K94" s="44"/>
      <c r="L94" s="44"/>
      <c r="M94" s="276">
        <v>1300</v>
      </c>
    </row>
    <row r="95" spans="1:13" ht="30" outlineLevel="2" x14ac:dyDescent="0.25">
      <c r="A95" s="44" t="s">
        <v>246</v>
      </c>
      <c r="B95" s="274">
        <v>44482</v>
      </c>
      <c r="C95" s="44" t="s">
        <v>1032</v>
      </c>
      <c r="D95" s="275">
        <v>6567</v>
      </c>
      <c r="E95" s="44" t="s">
        <v>846</v>
      </c>
      <c r="F95" s="44" t="s">
        <v>861</v>
      </c>
      <c r="G95" s="44" t="s">
        <v>862</v>
      </c>
      <c r="H95" s="44"/>
      <c r="I95" s="44"/>
      <c r="J95" s="44"/>
      <c r="K95" s="44"/>
      <c r="L95" s="44"/>
      <c r="M95" s="276">
        <v>154.80000000000001</v>
      </c>
    </row>
    <row r="96" spans="1:13" outlineLevel="2" x14ac:dyDescent="0.25">
      <c r="A96" s="44" t="s">
        <v>246</v>
      </c>
      <c r="B96" s="274">
        <v>44482</v>
      </c>
      <c r="C96" s="44" t="s">
        <v>1032</v>
      </c>
      <c r="D96" s="275">
        <v>6567</v>
      </c>
      <c r="E96" s="44" t="s">
        <v>846</v>
      </c>
      <c r="F96" s="44" t="s">
        <v>863</v>
      </c>
      <c r="G96" s="44">
        <v>72328</v>
      </c>
      <c r="H96" s="44"/>
      <c r="I96" s="44"/>
      <c r="J96" s="44"/>
      <c r="K96" s="44"/>
      <c r="L96" s="44"/>
      <c r="M96" s="276">
        <v>361.62</v>
      </c>
    </row>
    <row r="97" spans="1:13" outlineLevel="1" x14ac:dyDescent="0.25">
      <c r="A97" s="286" t="s">
        <v>1040</v>
      </c>
      <c r="B97" s="738"/>
      <c r="C97" s="739"/>
      <c r="D97" s="739"/>
      <c r="E97" s="739"/>
      <c r="F97" s="739"/>
      <c r="G97" s="740"/>
      <c r="H97" s="287"/>
      <c r="I97" s="287"/>
      <c r="J97" s="287"/>
      <c r="K97" s="287"/>
      <c r="L97" s="287"/>
      <c r="M97" s="288">
        <f>SUBTOTAL(9,M94:M96)</f>
        <v>1816.42</v>
      </c>
    </row>
    <row r="98" spans="1:13" outlineLevel="2" x14ac:dyDescent="0.25">
      <c r="A98" s="44" t="s">
        <v>142</v>
      </c>
      <c r="B98" s="274">
        <v>44495</v>
      </c>
      <c r="C98" s="44" t="s">
        <v>1034</v>
      </c>
      <c r="D98" s="275">
        <v>500003105</v>
      </c>
      <c r="E98" s="44" t="s">
        <v>724</v>
      </c>
      <c r="F98" s="44" t="s">
        <v>735</v>
      </c>
      <c r="G98" s="44"/>
      <c r="H98" s="44"/>
      <c r="I98" s="44"/>
      <c r="J98" s="44"/>
      <c r="K98" s="44"/>
      <c r="L98" s="44"/>
      <c r="M98" s="276">
        <v>1441.02</v>
      </c>
    </row>
    <row r="99" spans="1:13" outlineLevel="1" x14ac:dyDescent="0.25">
      <c r="A99" s="286" t="s">
        <v>1041</v>
      </c>
      <c r="B99" s="738"/>
      <c r="C99" s="739"/>
      <c r="D99" s="739"/>
      <c r="E99" s="739"/>
      <c r="F99" s="739"/>
      <c r="G99" s="740"/>
      <c r="H99" s="287"/>
      <c r="I99" s="287"/>
      <c r="J99" s="287"/>
      <c r="K99" s="287"/>
      <c r="L99" s="287"/>
      <c r="M99" s="288">
        <f>SUBTOTAL(9,M98:M98)</f>
        <v>1441.02</v>
      </c>
    </row>
    <row r="100" spans="1:13" outlineLevel="2" x14ac:dyDescent="0.25">
      <c r="A100" s="44" t="s">
        <v>141</v>
      </c>
      <c r="B100" s="274">
        <v>44470</v>
      </c>
      <c r="C100" s="44" t="s">
        <v>1034</v>
      </c>
      <c r="D100" s="275">
        <v>10400560760</v>
      </c>
      <c r="E100" s="44" t="s">
        <v>716</v>
      </c>
      <c r="F100" s="44" t="s">
        <v>717</v>
      </c>
      <c r="G100" s="44"/>
      <c r="H100" s="44"/>
      <c r="I100" s="44"/>
      <c r="J100" s="44"/>
      <c r="K100" s="44"/>
      <c r="L100" s="44"/>
      <c r="M100" s="276">
        <v>2823.14</v>
      </c>
    </row>
    <row r="101" spans="1:13" outlineLevel="2" x14ac:dyDescent="0.25">
      <c r="A101" s="44" t="s">
        <v>141</v>
      </c>
      <c r="B101" s="274">
        <v>44470</v>
      </c>
      <c r="C101" s="44" t="s">
        <v>1034</v>
      </c>
      <c r="D101" s="275">
        <v>10400572393</v>
      </c>
      <c r="E101" s="44" t="s">
        <v>716</v>
      </c>
      <c r="F101" s="44" t="s">
        <v>717</v>
      </c>
      <c r="G101" s="44"/>
      <c r="H101" s="44"/>
      <c r="I101" s="44"/>
      <c r="J101" s="44"/>
      <c r="K101" s="44"/>
      <c r="L101" s="44"/>
      <c r="M101" s="276">
        <v>1909.09</v>
      </c>
    </row>
    <row r="102" spans="1:13" outlineLevel="2" x14ac:dyDescent="0.25">
      <c r="A102" s="44" t="s">
        <v>141</v>
      </c>
      <c r="B102" s="274">
        <v>44470</v>
      </c>
      <c r="C102" s="44" t="s">
        <v>1034</v>
      </c>
      <c r="D102" s="275">
        <v>65100019280</v>
      </c>
      <c r="E102" s="44" t="s">
        <v>720</v>
      </c>
      <c r="F102" s="44" t="s">
        <v>721</v>
      </c>
      <c r="G102" s="44"/>
      <c r="H102" s="44"/>
      <c r="I102" s="44"/>
      <c r="J102" s="44"/>
      <c r="K102" s="44"/>
      <c r="L102" s="44"/>
      <c r="M102" s="276">
        <v>1922</v>
      </c>
    </row>
    <row r="103" spans="1:13" outlineLevel="2" x14ac:dyDescent="0.25">
      <c r="A103" s="44" t="s">
        <v>141</v>
      </c>
      <c r="B103" s="274">
        <v>44470</v>
      </c>
      <c r="C103" s="44" t="s">
        <v>1034</v>
      </c>
      <c r="D103" s="275">
        <v>65100019280</v>
      </c>
      <c r="E103" s="44" t="s">
        <v>720</v>
      </c>
      <c r="F103" s="44" t="s">
        <v>722</v>
      </c>
      <c r="G103" s="44"/>
      <c r="H103" s="44"/>
      <c r="I103" s="44"/>
      <c r="J103" s="44"/>
      <c r="K103" s="44"/>
      <c r="L103" s="44"/>
      <c r="M103" s="276">
        <v>272</v>
      </c>
    </row>
    <row r="104" spans="1:13" ht="30" outlineLevel="2" x14ac:dyDescent="0.25">
      <c r="A104" s="44" t="s">
        <v>141</v>
      </c>
      <c r="B104" s="274">
        <v>44473</v>
      </c>
      <c r="C104" s="44" t="s">
        <v>1034</v>
      </c>
      <c r="D104" s="275">
        <v>6100301594</v>
      </c>
      <c r="E104" s="44" t="s">
        <v>730</v>
      </c>
      <c r="F104" s="44" t="s">
        <v>717</v>
      </c>
      <c r="G104" s="44"/>
      <c r="H104" s="44"/>
      <c r="I104" s="44"/>
      <c r="J104" s="44"/>
      <c r="K104" s="44"/>
      <c r="L104" s="44"/>
      <c r="M104" s="276">
        <v>2744</v>
      </c>
    </row>
    <row r="105" spans="1:13" ht="30" outlineLevel="2" x14ac:dyDescent="0.25">
      <c r="A105" s="44" t="s">
        <v>141</v>
      </c>
      <c r="B105" s="274">
        <v>44480</v>
      </c>
      <c r="C105" s="44" t="s">
        <v>1034</v>
      </c>
      <c r="D105" s="275">
        <v>200000131</v>
      </c>
      <c r="E105" s="44" t="s">
        <v>736</v>
      </c>
      <c r="F105" s="44" t="s">
        <v>737</v>
      </c>
      <c r="G105" s="44"/>
      <c r="H105" s="44"/>
      <c r="I105" s="44"/>
      <c r="J105" s="44"/>
      <c r="K105" s="44"/>
      <c r="L105" s="44"/>
      <c r="M105" s="276">
        <v>9700</v>
      </c>
    </row>
    <row r="106" spans="1:13" outlineLevel="2" x14ac:dyDescent="0.25">
      <c r="A106" s="44" t="s">
        <v>141</v>
      </c>
      <c r="B106" s="274">
        <v>44484</v>
      </c>
      <c r="C106" s="44" t="s">
        <v>1034</v>
      </c>
      <c r="D106" s="275">
        <v>600011030</v>
      </c>
      <c r="E106" s="44" t="s">
        <v>731</v>
      </c>
      <c r="F106" s="44" t="s">
        <v>732</v>
      </c>
      <c r="G106" s="44"/>
      <c r="H106" s="44"/>
      <c r="I106" s="44"/>
      <c r="J106" s="44"/>
      <c r="K106" s="44"/>
      <c r="L106" s="44"/>
      <c r="M106" s="276">
        <v>6000</v>
      </c>
    </row>
    <row r="107" spans="1:13" outlineLevel="2" x14ac:dyDescent="0.25">
      <c r="A107" s="44" t="s">
        <v>141</v>
      </c>
      <c r="B107" s="274">
        <v>44491</v>
      </c>
      <c r="C107" s="44" t="s">
        <v>1034</v>
      </c>
      <c r="D107" s="275">
        <v>10400676781</v>
      </c>
      <c r="E107" s="44" t="s">
        <v>716</v>
      </c>
      <c r="F107" s="44" t="s">
        <v>717</v>
      </c>
      <c r="G107" s="44"/>
      <c r="H107" s="44"/>
      <c r="I107" s="44"/>
      <c r="J107" s="44"/>
      <c r="K107" s="44"/>
      <c r="L107" s="44"/>
      <c r="M107" s="276">
        <v>954.55</v>
      </c>
    </row>
    <row r="108" spans="1:13" outlineLevel="2" x14ac:dyDescent="0.25">
      <c r="A108" s="44" t="s">
        <v>141</v>
      </c>
      <c r="B108" s="274">
        <v>44491</v>
      </c>
      <c r="C108" s="44" t="s">
        <v>1034</v>
      </c>
      <c r="D108" s="275">
        <v>10400754323</v>
      </c>
      <c r="E108" s="44" t="s">
        <v>716</v>
      </c>
      <c r="F108" s="44" t="s">
        <v>717</v>
      </c>
      <c r="G108" s="44"/>
      <c r="H108" s="44"/>
      <c r="I108" s="44"/>
      <c r="J108" s="44"/>
      <c r="K108" s="44"/>
      <c r="L108" s="44"/>
      <c r="M108" s="276">
        <v>3757.85</v>
      </c>
    </row>
    <row r="109" spans="1:13" outlineLevel="2" x14ac:dyDescent="0.25">
      <c r="A109" s="44" t="s">
        <v>141</v>
      </c>
      <c r="B109" s="274">
        <v>44495</v>
      </c>
      <c r="C109" s="44" t="s">
        <v>1034</v>
      </c>
      <c r="D109" s="275">
        <v>500003105</v>
      </c>
      <c r="E109" s="44" t="s">
        <v>724</v>
      </c>
      <c r="F109" s="44" t="s">
        <v>725</v>
      </c>
      <c r="G109" s="44"/>
      <c r="H109" s="44"/>
      <c r="I109" s="44"/>
      <c r="J109" s="44"/>
      <c r="K109" s="44"/>
      <c r="L109" s="44"/>
      <c r="M109" s="276">
        <v>898.98</v>
      </c>
    </row>
    <row r="110" spans="1:13" outlineLevel="2" x14ac:dyDescent="0.25">
      <c r="A110" s="44" t="s">
        <v>141</v>
      </c>
      <c r="B110" s="274">
        <v>44496</v>
      </c>
      <c r="C110" s="44" t="s">
        <v>1034</v>
      </c>
      <c r="D110" s="275">
        <v>65100019922</v>
      </c>
      <c r="E110" s="44" t="s">
        <v>720</v>
      </c>
      <c r="F110" s="44" t="s">
        <v>726</v>
      </c>
      <c r="G110" s="44"/>
      <c r="H110" s="44"/>
      <c r="I110" s="44"/>
      <c r="J110" s="44"/>
      <c r="K110" s="44"/>
      <c r="L110" s="44"/>
      <c r="M110" s="276">
        <v>1922</v>
      </c>
    </row>
    <row r="111" spans="1:13" outlineLevel="2" x14ac:dyDescent="0.25">
      <c r="A111" s="44" t="s">
        <v>141</v>
      </c>
      <c r="B111" s="274">
        <v>44496</v>
      </c>
      <c r="C111" s="44" t="s">
        <v>1034</v>
      </c>
      <c r="D111" s="275">
        <v>65100019922</v>
      </c>
      <c r="E111" s="44" t="s">
        <v>720</v>
      </c>
      <c r="F111" s="44" t="s">
        <v>727</v>
      </c>
      <c r="G111" s="44"/>
      <c r="H111" s="44"/>
      <c r="I111" s="44"/>
      <c r="J111" s="44"/>
      <c r="K111" s="44"/>
      <c r="L111" s="44"/>
      <c r="M111" s="276">
        <v>272</v>
      </c>
    </row>
    <row r="112" spans="1:13" outlineLevel="2" x14ac:dyDescent="0.25">
      <c r="A112" s="44" t="s">
        <v>141</v>
      </c>
      <c r="B112" s="274">
        <v>44496</v>
      </c>
      <c r="C112" s="44" t="s">
        <v>1032</v>
      </c>
      <c r="D112" s="275">
        <v>6632</v>
      </c>
      <c r="E112" s="44" t="s">
        <v>846</v>
      </c>
      <c r="F112" s="44" t="s">
        <v>855</v>
      </c>
      <c r="G112" s="44" t="s">
        <v>856</v>
      </c>
      <c r="H112" s="44"/>
      <c r="I112" s="44"/>
      <c r="J112" s="44"/>
      <c r="K112" s="44"/>
      <c r="L112" s="44"/>
      <c r="M112" s="276">
        <v>5044.22</v>
      </c>
    </row>
    <row r="113" spans="1:13" outlineLevel="2" x14ac:dyDescent="0.25">
      <c r="A113" s="44" t="s">
        <v>141</v>
      </c>
      <c r="B113" s="274">
        <v>44496</v>
      </c>
      <c r="C113" s="44" t="s">
        <v>1032</v>
      </c>
      <c r="D113" s="275">
        <v>6632</v>
      </c>
      <c r="E113" s="44" t="s">
        <v>846</v>
      </c>
      <c r="F113" s="44" t="s">
        <v>847</v>
      </c>
      <c r="G113" s="44" t="s">
        <v>848</v>
      </c>
      <c r="H113" s="44"/>
      <c r="I113" s="44"/>
      <c r="J113" s="44"/>
      <c r="K113" s="44"/>
      <c r="L113" s="44"/>
      <c r="M113" s="276">
        <v>1570.84</v>
      </c>
    </row>
    <row r="114" spans="1:13" outlineLevel="2" x14ac:dyDescent="0.25">
      <c r="A114" s="44" t="s">
        <v>141</v>
      </c>
      <c r="B114" s="274">
        <v>44496</v>
      </c>
      <c r="C114" s="44" t="s">
        <v>1032</v>
      </c>
      <c r="D114" s="275">
        <v>6632</v>
      </c>
      <c r="E114" s="44" t="s">
        <v>846</v>
      </c>
      <c r="F114" s="44" t="s">
        <v>851</v>
      </c>
      <c r="G114" s="44" t="s">
        <v>852</v>
      </c>
      <c r="H114" s="44"/>
      <c r="I114" s="44"/>
      <c r="J114" s="44"/>
      <c r="K114" s="44"/>
      <c r="L114" s="44"/>
      <c r="M114" s="276">
        <v>1108.24</v>
      </c>
    </row>
    <row r="115" spans="1:13" outlineLevel="2" x14ac:dyDescent="0.25">
      <c r="A115" s="44" t="s">
        <v>141</v>
      </c>
      <c r="B115" s="274">
        <v>44496</v>
      </c>
      <c r="C115" s="44" t="s">
        <v>1032</v>
      </c>
      <c r="D115" s="275">
        <v>6632</v>
      </c>
      <c r="E115" s="44" t="s">
        <v>846</v>
      </c>
      <c r="F115" s="44" t="s">
        <v>213</v>
      </c>
      <c r="G115" s="44" t="s">
        <v>864</v>
      </c>
      <c r="H115" s="44"/>
      <c r="I115" s="44"/>
      <c r="J115" s="44"/>
      <c r="K115" s="44"/>
      <c r="L115" s="44"/>
      <c r="M115" s="276">
        <v>84.02</v>
      </c>
    </row>
    <row r="116" spans="1:13" ht="30" outlineLevel="2" x14ac:dyDescent="0.25">
      <c r="A116" s="44" t="s">
        <v>141</v>
      </c>
      <c r="B116" s="274">
        <v>44496</v>
      </c>
      <c r="C116" s="44" t="s">
        <v>1032</v>
      </c>
      <c r="D116" s="275">
        <v>6632</v>
      </c>
      <c r="E116" s="44" t="s">
        <v>846</v>
      </c>
      <c r="F116" s="44" t="s">
        <v>857</v>
      </c>
      <c r="G116" s="44" t="s">
        <v>858</v>
      </c>
      <c r="H116" s="44"/>
      <c r="I116" s="44"/>
      <c r="J116" s="44"/>
      <c r="K116" s="44"/>
      <c r="L116" s="44"/>
      <c r="M116" s="276">
        <v>1852.83</v>
      </c>
    </row>
    <row r="117" spans="1:13" outlineLevel="2" x14ac:dyDescent="0.25">
      <c r="A117" s="44" t="s">
        <v>141</v>
      </c>
      <c r="B117" s="274">
        <v>44496</v>
      </c>
      <c r="C117" s="44" t="s">
        <v>1032</v>
      </c>
      <c r="D117" s="275">
        <v>6632</v>
      </c>
      <c r="E117" s="44" t="s">
        <v>846</v>
      </c>
      <c r="F117" s="44" t="s">
        <v>859</v>
      </c>
      <c r="G117" s="44" t="s">
        <v>860</v>
      </c>
      <c r="H117" s="44"/>
      <c r="I117" s="44"/>
      <c r="J117" s="44"/>
      <c r="K117" s="44"/>
      <c r="L117" s="44"/>
      <c r="M117" s="276">
        <v>1665.8</v>
      </c>
    </row>
    <row r="118" spans="1:13" outlineLevel="2" x14ac:dyDescent="0.25">
      <c r="A118" s="44" t="s">
        <v>141</v>
      </c>
      <c r="B118" s="274">
        <v>44496</v>
      </c>
      <c r="C118" s="44" t="s">
        <v>1032</v>
      </c>
      <c r="D118" s="275">
        <v>6632</v>
      </c>
      <c r="E118" s="44" t="s">
        <v>846</v>
      </c>
      <c r="F118" s="44" t="s">
        <v>853</v>
      </c>
      <c r="G118" s="44" t="s">
        <v>854</v>
      </c>
      <c r="H118" s="44"/>
      <c r="I118" s="44"/>
      <c r="J118" s="44"/>
      <c r="K118" s="44"/>
      <c r="L118" s="44"/>
      <c r="M118" s="276">
        <v>3819.51</v>
      </c>
    </row>
    <row r="119" spans="1:13" outlineLevel="2" x14ac:dyDescent="0.25">
      <c r="A119" s="44" t="s">
        <v>141</v>
      </c>
      <c r="B119" s="274">
        <v>44483</v>
      </c>
      <c r="C119" s="44" t="s">
        <v>1036</v>
      </c>
      <c r="D119" s="275">
        <v>100004946</v>
      </c>
      <c r="E119" s="44" t="s">
        <v>929</v>
      </c>
      <c r="F119" s="44" t="s">
        <v>923</v>
      </c>
      <c r="G119" s="44" t="s">
        <v>930</v>
      </c>
      <c r="H119" s="44">
        <v>0</v>
      </c>
      <c r="I119" s="44">
        <v>0</v>
      </c>
      <c r="J119" s="44">
        <v>0</v>
      </c>
      <c r="K119" s="44">
        <v>1</v>
      </c>
      <c r="L119" s="44">
        <v>160</v>
      </c>
      <c r="M119" s="269">
        <f>L119-(H119+I119+J119)*K119</f>
        <v>160</v>
      </c>
    </row>
    <row r="120" spans="1:13" outlineLevel="2" x14ac:dyDescent="0.25">
      <c r="A120" s="44" t="s">
        <v>141</v>
      </c>
      <c r="B120" s="274">
        <v>44483</v>
      </c>
      <c r="C120" s="44" t="s">
        <v>1036</v>
      </c>
      <c r="D120" s="275">
        <v>100004946</v>
      </c>
      <c r="E120" s="44" t="s">
        <v>716</v>
      </c>
      <c r="F120" s="44" t="s">
        <v>717</v>
      </c>
      <c r="G120" s="44" t="s">
        <v>930</v>
      </c>
      <c r="H120" s="44">
        <v>232.5624</v>
      </c>
      <c r="I120" s="44">
        <v>0</v>
      </c>
      <c r="J120" s="44">
        <v>0</v>
      </c>
      <c r="K120" s="44">
        <v>1</v>
      </c>
      <c r="L120" s="277">
        <v>1340</v>
      </c>
      <c r="M120" s="269">
        <f>L120-(H120+I120+J120)*K120</f>
        <v>1107.4376</v>
      </c>
    </row>
    <row r="121" spans="1:13" ht="30" outlineLevel="2" x14ac:dyDescent="0.25">
      <c r="A121" s="44" t="s">
        <v>141</v>
      </c>
      <c r="B121" s="274">
        <v>44483</v>
      </c>
      <c r="C121" s="44" t="s">
        <v>1036</v>
      </c>
      <c r="D121" s="275">
        <v>100004946</v>
      </c>
      <c r="E121" s="44" t="s">
        <v>915</v>
      </c>
      <c r="F121" s="44" t="s">
        <v>717</v>
      </c>
      <c r="G121" s="44" t="s">
        <v>930</v>
      </c>
      <c r="H121" s="44">
        <v>433.88414999999998</v>
      </c>
      <c r="I121" s="44">
        <v>0</v>
      </c>
      <c r="J121" s="44">
        <v>0</v>
      </c>
      <c r="K121" s="44">
        <v>1</v>
      </c>
      <c r="L121" s="277">
        <v>4000</v>
      </c>
      <c r="M121" s="269">
        <f>L121-(H121+I121+J121)*K121</f>
        <v>3566.1158500000001</v>
      </c>
    </row>
    <row r="122" spans="1:13" outlineLevel="2" x14ac:dyDescent="0.25">
      <c r="A122" s="44" t="s">
        <v>141</v>
      </c>
      <c r="B122" s="274">
        <v>44498</v>
      </c>
      <c r="C122" s="44" t="s">
        <v>1036</v>
      </c>
      <c r="D122" s="275">
        <v>100004986</v>
      </c>
      <c r="E122" s="44" t="s">
        <v>716</v>
      </c>
      <c r="F122" s="44" t="s">
        <v>717</v>
      </c>
      <c r="G122" s="44" t="s">
        <v>930</v>
      </c>
      <c r="H122" s="44">
        <v>326.28120000000001</v>
      </c>
      <c r="I122" s="44">
        <v>0</v>
      </c>
      <c r="J122" s="44">
        <v>0</v>
      </c>
      <c r="K122" s="44">
        <v>1</v>
      </c>
      <c r="L122" s="277">
        <v>1880</v>
      </c>
      <c r="M122" s="269">
        <f>L122-(H122+I122+J122)*K122</f>
        <v>1553.7188000000001</v>
      </c>
    </row>
    <row r="123" spans="1:13" ht="30" outlineLevel="2" x14ac:dyDescent="0.25">
      <c r="A123" s="44" t="s">
        <v>141</v>
      </c>
      <c r="B123" s="274">
        <v>44498</v>
      </c>
      <c r="C123" s="44" t="s">
        <v>1036</v>
      </c>
      <c r="D123" s="275">
        <v>100004986</v>
      </c>
      <c r="E123" s="44" t="s">
        <v>915</v>
      </c>
      <c r="F123" s="44" t="s">
        <v>717</v>
      </c>
      <c r="G123" s="44" t="s">
        <v>930</v>
      </c>
      <c r="H123" s="44">
        <v>173.55449999999999</v>
      </c>
      <c r="I123" s="44">
        <v>0</v>
      </c>
      <c r="J123" s="44">
        <v>0</v>
      </c>
      <c r="K123" s="44">
        <v>1</v>
      </c>
      <c r="L123" s="277">
        <v>1600</v>
      </c>
      <c r="M123" s="269">
        <f>L123-(H123+I123+J123)*K123</f>
        <v>1426.4455</v>
      </c>
    </row>
    <row r="124" spans="1:13" outlineLevel="1" x14ac:dyDescent="0.25">
      <c r="A124" s="282" t="s">
        <v>643</v>
      </c>
      <c r="B124" s="741"/>
      <c r="C124" s="742"/>
      <c r="D124" s="742"/>
      <c r="E124" s="742"/>
      <c r="F124" s="742"/>
      <c r="G124" s="743"/>
      <c r="H124" s="283"/>
      <c r="I124" s="283"/>
      <c r="J124" s="283"/>
      <c r="K124" s="283"/>
      <c r="L124" s="284"/>
      <c r="M124" s="285">
        <f>SUBTOTAL(9,M100:M123)</f>
        <v>56134.787750000003</v>
      </c>
    </row>
    <row r="125" spans="1:13" outlineLevel="2" x14ac:dyDescent="0.25">
      <c r="A125" s="44" t="s">
        <v>146</v>
      </c>
      <c r="B125" s="274">
        <v>44470</v>
      </c>
      <c r="C125" s="44" t="s">
        <v>1034</v>
      </c>
      <c r="D125" s="275">
        <v>500033638</v>
      </c>
      <c r="E125" s="44" t="s">
        <v>713</v>
      </c>
      <c r="F125" s="44" t="s">
        <v>714</v>
      </c>
      <c r="G125" s="44"/>
      <c r="H125" s="44"/>
      <c r="I125" s="44"/>
      <c r="J125" s="44"/>
      <c r="K125" s="44"/>
      <c r="L125" s="44"/>
      <c r="M125" s="276">
        <v>1791.53</v>
      </c>
    </row>
    <row r="126" spans="1:13" outlineLevel="2" x14ac:dyDescent="0.25">
      <c r="A126" s="44" t="s">
        <v>146</v>
      </c>
      <c r="B126" s="274">
        <v>44470</v>
      </c>
      <c r="C126" s="44" t="s">
        <v>1034</v>
      </c>
      <c r="D126" s="275">
        <v>10400572393</v>
      </c>
      <c r="E126" s="44" t="s">
        <v>716</v>
      </c>
      <c r="F126" s="44" t="s">
        <v>717</v>
      </c>
      <c r="G126" s="44"/>
      <c r="H126" s="44"/>
      <c r="I126" s="44"/>
      <c r="J126" s="44"/>
      <c r="K126" s="44"/>
      <c r="L126" s="44"/>
      <c r="M126" s="276">
        <v>345.45</v>
      </c>
    </row>
    <row r="127" spans="1:13" outlineLevel="2" x14ac:dyDescent="0.25">
      <c r="A127" s="44" t="s">
        <v>146</v>
      </c>
      <c r="B127" s="274">
        <v>44470</v>
      </c>
      <c r="C127" s="44" t="s">
        <v>1034</v>
      </c>
      <c r="D127" s="275">
        <v>10400578195</v>
      </c>
      <c r="E127" s="44" t="s">
        <v>716</v>
      </c>
      <c r="F127" s="44" t="s">
        <v>717</v>
      </c>
      <c r="G127" s="44"/>
      <c r="H127" s="44"/>
      <c r="I127" s="44"/>
      <c r="J127" s="44"/>
      <c r="K127" s="44"/>
      <c r="L127" s="44"/>
      <c r="M127" s="276">
        <v>2480.17</v>
      </c>
    </row>
    <row r="128" spans="1:13" outlineLevel="2" x14ac:dyDescent="0.25">
      <c r="A128" s="44" t="s">
        <v>146</v>
      </c>
      <c r="B128" s="274">
        <v>44470</v>
      </c>
      <c r="C128" s="44" t="s">
        <v>1034</v>
      </c>
      <c r="D128" s="275">
        <v>60000274229</v>
      </c>
      <c r="E128" s="44" t="s">
        <v>718</v>
      </c>
      <c r="F128" s="44" t="s">
        <v>717</v>
      </c>
      <c r="G128" s="44"/>
      <c r="H128" s="44"/>
      <c r="I128" s="44"/>
      <c r="J128" s="44"/>
      <c r="K128" s="44"/>
      <c r="L128" s="44"/>
      <c r="M128" s="276">
        <v>525.14</v>
      </c>
    </row>
    <row r="129" spans="1:13" outlineLevel="2" x14ac:dyDescent="0.25">
      <c r="A129" s="44" t="s">
        <v>146</v>
      </c>
      <c r="B129" s="274">
        <v>44470</v>
      </c>
      <c r="C129" s="44" t="s">
        <v>1034</v>
      </c>
      <c r="D129" s="275">
        <v>60000285996</v>
      </c>
      <c r="E129" s="44" t="s">
        <v>718</v>
      </c>
      <c r="F129" s="44" t="s">
        <v>717</v>
      </c>
      <c r="G129" s="44"/>
      <c r="H129" s="44"/>
      <c r="I129" s="44"/>
      <c r="J129" s="44"/>
      <c r="K129" s="44"/>
      <c r="L129" s="44"/>
      <c r="M129" s="276">
        <v>1882.28</v>
      </c>
    </row>
    <row r="130" spans="1:13" outlineLevel="2" x14ac:dyDescent="0.25">
      <c r="A130" s="44" t="s">
        <v>146</v>
      </c>
      <c r="B130" s="274">
        <v>44474</v>
      </c>
      <c r="C130" s="44" t="s">
        <v>1034</v>
      </c>
      <c r="D130" s="275">
        <v>200000058</v>
      </c>
      <c r="E130" s="44" t="s">
        <v>733</v>
      </c>
      <c r="F130" s="44" t="s">
        <v>738</v>
      </c>
      <c r="G130" s="44"/>
      <c r="H130" s="44"/>
      <c r="I130" s="44"/>
      <c r="J130" s="44"/>
      <c r="K130" s="44"/>
      <c r="L130" s="44"/>
      <c r="M130" s="276">
        <v>5000</v>
      </c>
    </row>
    <row r="131" spans="1:13" outlineLevel="2" x14ac:dyDescent="0.25">
      <c r="A131" s="44" t="s">
        <v>146</v>
      </c>
      <c r="B131" s="274">
        <v>44491</v>
      </c>
      <c r="C131" s="44" t="s">
        <v>1034</v>
      </c>
      <c r="D131" s="275">
        <v>10400676781</v>
      </c>
      <c r="E131" s="44" t="s">
        <v>716</v>
      </c>
      <c r="F131" s="44" t="s">
        <v>717</v>
      </c>
      <c r="G131" s="44"/>
      <c r="H131" s="44"/>
      <c r="I131" s="44"/>
      <c r="J131" s="44"/>
      <c r="K131" s="44"/>
      <c r="L131" s="44"/>
      <c r="M131" s="276">
        <v>500</v>
      </c>
    </row>
    <row r="132" spans="1:13" outlineLevel="2" x14ac:dyDescent="0.25">
      <c r="A132" s="44" t="s">
        <v>146</v>
      </c>
      <c r="B132" s="274">
        <v>44491</v>
      </c>
      <c r="C132" s="44" t="s">
        <v>1034</v>
      </c>
      <c r="D132" s="275">
        <v>10400701977</v>
      </c>
      <c r="E132" s="44" t="s">
        <v>716</v>
      </c>
      <c r="F132" s="44" t="s">
        <v>717</v>
      </c>
      <c r="G132" s="44"/>
      <c r="H132" s="44"/>
      <c r="I132" s="44"/>
      <c r="J132" s="44"/>
      <c r="K132" s="44"/>
      <c r="L132" s="44"/>
      <c r="M132" s="276">
        <v>3649.59</v>
      </c>
    </row>
    <row r="133" spans="1:13" outlineLevel="2" x14ac:dyDescent="0.25">
      <c r="A133" s="44" t="s">
        <v>146</v>
      </c>
      <c r="B133" s="274">
        <v>44500</v>
      </c>
      <c r="C133" s="44" t="s">
        <v>1034</v>
      </c>
      <c r="D133" s="275">
        <v>60000298248</v>
      </c>
      <c r="E133" s="44" t="s">
        <v>718</v>
      </c>
      <c r="F133" s="44" t="s">
        <v>717</v>
      </c>
      <c r="G133" s="44"/>
      <c r="H133" s="44"/>
      <c r="I133" s="44"/>
      <c r="J133" s="44"/>
      <c r="K133" s="44"/>
      <c r="L133" s="44"/>
      <c r="M133" s="276">
        <v>3199.56</v>
      </c>
    </row>
    <row r="134" spans="1:13" outlineLevel="2" x14ac:dyDescent="0.25">
      <c r="A134" s="44" t="s">
        <v>146</v>
      </c>
      <c r="B134" s="274">
        <v>44491</v>
      </c>
      <c r="C134" s="44" t="s">
        <v>1035</v>
      </c>
      <c r="D134" s="275">
        <v>2800005426</v>
      </c>
      <c r="E134" s="44" t="s">
        <v>810</v>
      </c>
      <c r="F134" s="44" t="s">
        <v>835</v>
      </c>
      <c r="G134" s="44"/>
      <c r="H134" s="44"/>
      <c r="I134" s="44"/>
      <c r="J134" s="44"/>
      <c r="K134" s="44"/>
      <c r="L134" s="44"/>
      <c r="M134" s="276">
        <v>-1498.86</v>
      </c>
    </row>
    <row r="135" spans="1:13" outlineLevel="2" x14ac:dyDescent="0.25">
      <c r="A135" s="44" t="s">
        <v>146</v>
      </c>
      <c r="B135" s="274">
        <v>44481</v>
      </c>
      <c r="C135" s="44" t="s">
        <v>1032</v>
      </c>
      <c r="D135" s="275">
        <v>6555</v>
      </c>
      <c r="E135" s="44" t="s">
        <v>846</v>
      </c>
      <c r="F135" s="44" t="s">
        <v>865</v>
      </c>
      <c r="G135" s="44" t="s">
        <v>848</v>
      </c>
      <c r="H135" s="44"/>
      <c r="I135" s="44"/>
      <c r="J135" s="44"/>
      <c r="K135" s="44"/>
      <c r="L135" s="44"/>
      <c r="M135" s="276">
        <v>1574.77</v>
      </c>
    </row>
    <row r="136" spans="1:13" outlineLevel="2" x14ac:dyDescent="0.25">
      <c r="A136" s="44" t="s">
        <v>146</v>
      </c>
      <c r="B136" s="274">
        <v>44481</v>
      </c>
      <c r="C136" s="44" t="s">
        <v>1032</v>
      </c>
      <c r="D136" s="275">
        <v>6555</v>
      </c>
      <c r="E136" s="44" t="s">
        <v>846</v>
      </c>
      <c r="F136" s="44" t="s">
        <v>849</v>
      </c>
      <c r="G136" s="44" t="s">
        <v>850</v>
      </c>
      <c r="H136" s="44"/>
      <c r="I136" s="44"/>
      <c r="J136" s="44"/>
      <c r="K136" s="44"/>
      <c r="L136" s="44"/>
      <c r="M136" s="276">
        <v>1653.76</v>
      </c>
    </row>
    <row r="137" spans="1:13" outlineLevel="2" x14ac:dyDescent="0.25">
      <c r="A137" s="44" t="s">
        <v>146</v>
      </c>
      <c r="B137" s="274">
        <v>44481</v>
      </c>
      <c r="C137" s="44" t="s">
        <v>1032</v>
      </c>
      <c r="D137" s="275">
        <v>6555</v>
      </c>
      <c r="E137" s="44" t="s">
        <v>846</v>
      </c>
      <c r="F137" s="44" t="s">
        <v>851</v>
      </c>
      <c r="G137" s="44" t="s">
        <v>852</v>
      </c>
      <c r="H137" s="44"/>
      <c r="I137" s="44"/>
      <c r="J137" s="44"/>
      <c r="K137" s="44"/>
      <c r="L137" s="44"/>
      <c r="M137" s="276">
        <v>1111</v>
      </c>
    </row>
    <row r="138" spans="1:13" outlineLevel="2" x14ac:dyDescent="0.25">
      <c r="A138" s="44" t="s">
        <v>146</v>
      </c>
      <c r="B138" s="274">
        <v>44481</v>
      </c>
      <c r="C138" s="44" t="s">
        <v>1032</v>
      </c>
      <c r="D138" s="275">
        <v>6555</v>
      </c>
      <c r="E138" s="44" t="s">
        <v>846</v>
      </c>
      <c r="F138" s="44" t="s">
        <v>213</v>
      </c>
      <c r="G138" s="44" t="s">
        <v>864</v>
      </c>
      <c r="H138" s="44"/>
      <c r="I138" s="44"/>
      <c r="J138" s="44"/>
      <c r="K138" s="44"/>
      <c r="L138" s="44"/>
      <c r="M138" s="276">
        <v>72.98</v>
      </c>
    </row>
    <row r="139" spans="1:13" outlineLevel="2" x14ac:dyDescent="0.25">
      <c r="A139" s="44" t="s">
        <v>146</v>
      </c>
      <c r="B139" s="274">
        <v>44481</v>
      </c>
      <c r="C139" s="44" t="s">
        <v>1032</v>
      </c>
      <c r="D139" s="275">
        <v>6555</v>
      </c>
      <c r="E139" s="44" t="s">
        <v>846</v>
      </c>
      <c r="F139" s="44" t="s">
        <v>866</v>
      </c>
      <c r="G139" s="44" t="s">
        <v>854</v>
      </c>
      <c r="H139" s="44"/>
      <c r="I139" s="44"/>
      <c r="J139" s="44"/>
      <c r="K139" s="44"/>
      <c r="L139" s="44"/>
      <c r="M139" s="276">
        <v>6450.21</v>
      </c>
    </row>
    <row r="140" spans="1:13" outlineLevel="2" x14ac:dyDescent="0.25">
      <c r="A140" s="44" t="s">
        <v>146</v>
      </c>
      <c r="B140" s="274">
        <v>44481</v>
      </c>
      <c r="C140" s="44" t="s">
        <v>1036</v>
      </c>
      <c r="D140" s="275">
        <v>100004939</v>
      </c>
      <c r="E140" s="44" t="s">
        <v>931</v>
      </c>
      <c r="F140" s="44" t="s">
        <v>717</v>
      </c>
      <c r="G140" s="44" t="s">
        <v>932</v>
      </c>
      <c r="H140" s="44">
        <v>144.04949999999999</v>
      </c>
      <c r="I140" s="44">
        <v>0</v>
      </c>
      <c r="J140" s="44">
        <v>0</v>
      </c>
      <c r="K140" s="44">
        <v>2</v>
      </c>
      <c r="L140" s="277">
        <v>1660</v>
      </c>
      <c r="M140" s="269">
        <f>L140-(H140+I140+J140)*K140</f>
        <v>1371.9010000000001</v>
      </c>
    </row>
    <row r="141" spans="1:13" outlineLevel="1" x14ac:dyDescent="0.25">
      <c r="A141" s="282" t="s">
        <v>644</v>
      </c>
      <c r="B141" s="741"/>
      <c r="C141" s="742"/>
      <c r="D141" s="742"/>
      <c r="E141" s="742"/>
      <c r="F141" s="742"/>
      <c r="G141" s="743"/>
      <c r="H141" s="283"/>
      <c r="I141" s="283"/>
      <c r="J141" s="283"/>
      <c r="K141" s="283"/>
      <c r="L141" s="284"/>
      <c r="M141" s="285">
        <f>SUBTOTAL(9,M125:M140)</f>
        <v>30109.481</v>
      </c>
    </row>
    <row r="142" spans="1:13" outlineLevel="2" x14ac:dyDescent="0.25">
      <c r="A142" s="44" t="s">
        <v>150</v>
      </c>
      <c r="B142" s="274">
        <v>44470</v>
      </c>
      <c r="C142" s="44" t="s">
        <v>1034</v>
      </c>
      <c r="D142" s="275">
        <v>500033638</v>
      </c>
      <c r="E142" s="44" t="s">
        <v>713</v>
      </c>
      <c r="F142" s="44" t="s">
        <v>714</v>
      </c>
      <c r="G142" s="44"/>
      <c r="H142" s="44"/>
      <c r="I142" s="44"/>
      <c r="J142" s="44"/>
      <c r="K142" s="44"/>
      <c r="L142" s="44"/>
      <c r="M142" s="276">
        <v>1791.53</v>
      </c>
    </row>
    <row r="143" spans="1:13" outlineLevel="2" x14ac:dyDescent="0.25">
      <c r="A143" s="44" t="s">
        <v>150</v>
      </c>
      <c r="B143" s="274">
        <v>44470</v>
      </c>
      <c r="C143" s="44" t="s">
        <v>1034</v>
      </c>
      <c r="D143" s="275">
        <v>10400520948</v>
      </c>
      <c r="E143" s="44" t="s">
        <v>716</v>
      </c>
      <c r="F143" s="44" t="s">
        <v>717</v>
      </c>
      <c r="G143" s="44"/>
      <c r="H143" s="44"/>
      <c r="I143" s="44"/>
      <c r="J143" s="44"/>
      <c r="K143" s="44"/>
      <c r="L143" s="44"/>
      <c r="M143" s="276">
        <v>326.45</v>
      </c>
    </row>
    <row r="144" spans="1:13" outlineLevel="2" x14ac:dyDescent="0.25">
      <c r="A144" s="44" t="s">
        <v>150</v>
      </c>
      <c r="B144" s="274">
        <v>44470</v>
      </c>
      <c r="C144" s="44" t="s">
        <v>1034</v>
      </c>
      <c r="D144" s="275">
        <v>10400578195</v>
      </c>
      <c r="E144" s="44" t="s">
        <v>716</v>
      </c>
      <c r="F144" s="44" t="s">
        <v>717</v>
      </c>
      <c r="G144" s="44"/>
      <c r="H144" s="44"/>
      <c r="I144" s="44"/>
      <c r="J144" s="44"/>
      <c r="K144" s="44"/>
      <c r="L144" s="44"/>
      <c r="M144" s="276">
        <v>4684.3</v>
      </c>
    </row>
    <row r="145" spans="1:13" outlineLevel="2" x14ac:dyDescent="0.25">
      <c r="A145" s="44" t="s">
        <v>150</v>
      </c>
      <c r="B145" s="274">
        <v>44470</v>
      </c>
      <c r="C145" s="44" t="s">
        <v>1034</v>
      </c>
      <c r="D145" s="275">
        <v>60000274229</v>
      </c>
      <c r="E145" s="44" t="s">
        <v>718</v>
      </c>
      <c r="F145" s="44" t="s">
        <v>717</v>
      </c>
      <c r="G145" s="44"/>
      <c r="H145" s="44"/>
      <c r="I145" s="44"/>
      <c r="J145" s="44"/>
      <c r="K145" s="44"/>
      <c r="L145" s="44"/>
      <c r="M145" s="276">
        <v>2691.81</v>
      </c>
    </row>
    <row r="146" spans="1:13" outlineLevel="2" x14ac:dyDescent="0.25">
      <c r="A146" s="44" t="s">
        <v>150</v>
      </c>
      <c r="B146" s="274">
        <v>44470</v>
      </c>
      <c r="C146" s="44" t="s">
        <v>1034</v>
      </c>
      <c r="D146" s="275">
        <v>60000285996</v>
      </c>
      <c r="E146" s="44" t="s">
        <v>718</v>
      </c>
      <c r="F146" s="44" t="s">
        <v>717</v>
      </c>
      <c r="G146" s="44"/>
      <c r="H146" s="44"/>
      <c r="I146" s="44"/>
      <c r="J146" s="44"/>
      <c r="K146" s="44"/>
      <c r="L146" s="44"/>
      <c r="M146" s="276">
        <v>2333.41</v>
      </c>
    </row>
    <row r="147" spans="1:13" outlineLevel="2" x14ac:dyDescent="0.25">
      <c r="A147" s="44" t="s">
        <v>150</v>
      </c>
      <c r="B147" s="274">
        <v>44470</v>
      </c>
      <c r="C147" s="44" t="s">
        <v>1034</v>
      </c>
      <c r="D147" s="275">
        <v>71102115521</v>
      </c>
      <c r="E147" s="44" t="s">
        <v>739</v>
      </c>
      <c r="F147" s="44" t="s">
        <v>717</v>
      </c>
      <c r="G147" s="44"/>
      <c r="H147" s="44"/>
      <c r="I147" s="44"/>
      <c r="J147" s="44"/>
      <c r="K147" s="44"/>
      <c r="L147" s="44"/>
      <c r="M147" s="276">
        <v>441.79</v>
      </c>
    </row>
    <row r="148" spans="1:13" outlineLevel="2" x14ac:dyDescent="0.25">
      <c r="A148" s="44" t="s">
        <v>150</v>
      </c>
      <c r="B148" s="274">
        <v>44470</v>
      </c>
      <c r="C148" s="44" t="s">
        <v>1034</v>
      </c>
      <c r="D148" s="275">
        <v>501300168825</v>
      </c>
      <c r="E148" s="44" t="s">
        <v>723</v>
      </c>
      <c r="F148" s="44" t="s">
        <v>717</v>
      </c>
      <c r="G148" s="44"/>
      <c r="H148" s="44"/>
      <c r="I148" s="44"/>
      <c r="J148" s="44"/>
      <c r="K148" s="44"/>
      <c r="L148" s="44"/>
      <c r="M148" s="276">
        <v>142.26</v>
      </c>
    </row>
    <row r="149" spans="1:13" outlineLevel="2" x14ac:dyDescent="0.25">
      <c r="A149" s="44" t="s">
        <v>150</v>
      </c>
      <c r="B149" s="274">
        <v>44473</v>
      </c>
      <c r="C149" s="44" t="s">
        <v>1034</v>
      </c>
      <c r="D149" s="275">
        <v>501300176437</v>
      </c>
      <c r="E149" s="44" t="s">
        <v>723</v>
      </c>
      <c r="F149" s="44" t="s">
        <v>717</v>
      </c>
      <c r="G149" s="44"/>
      <c r="H149" s="44"/>
      <c r="I149" s="44"/>
      <c r="J149" s="44"/>
      <c r="K149" s="44"/>
      <c r="L149" s="44"/>
      <c r="M149" s="276">
        <v>126.52</v>
      </c>
    </row>
    <row r="150" spans="1:13" ht="30" outlineLevel="2" x14ac:dyDescent="0.25">
      <c r="A150" s="44" t="s">
        <v>150</v>
      </c>
      <c r="B150" s="274">
        <v>44482</v>
      </c>
      <c r="C150" s="44" t="s">
        <v>1034</v>
      </c>
      <c r="D150" s="275">
        <v>5002331085</v>
      </c>
      <c r="E150" s="44" t="s">
        <v>740</v>
      </c>
      <c r="F150" s="44" t="s">
        <v>717</v>
      </c>
      <c r="G150" s="44"/>
      <c r="H150" s="44"/>
      <c r="I150" s="44"/>
      <c r="J150" s="44"/>
      <c r="K150" s="44"/>
      <c r="L150" s="44"/>
      <c r="M150" s="276">
        <v>301.64999999999998</v>
      </c>
    </row>
    <row r="151" spans="1:13" outlineLevel="2" x14ac:dyDescent="0.25">
      <c r="A151" s="44" t="s">
        <v>150</v>
      </c>
      <c r="B151" s="274">
        <v>44489</v>
      </c>
      <c r="C151" s="44" t="s">
        <v>1034</v>
      </c>
      <c r="D151" s="275">
        <v>50300370602</v>
      </c>
      <c r="E151" s="44" t="s">
        <v>741</v>
      </c>
      <c r="F151" s="44" t="s">
        <v>717</v>
      </c>
      <c r="G151" s="44"/>
      <c r="H151" s="44"/>
      <c r="I151" s="44"/>
      <c r="J151" s="44"/>
      <c r="K151" s="44"/>
      <c r="L151" s="44"/>
      <c r="M151" s="276">
        <v>989.09</v>
      </c>
    </row>
    <row r="152" spans="1:13" outlineLevel="2" x14ac:dyDescent="0.25">
      <c r="A152" s="44" t="s">
        <v>150</v>
      </c>
      <c r="B152" s="274">
        <v>44491</v>
      </c>
      <c r="C152" s="44" t="s">
        <v>1034</v>
      </c>
      <c r="D152" s="275">
        <v>10400676781</v>
      </c>
      <c r="E152" s="44" t="s">
        <v>716</v>
      </c>
      <c r="F152" s="44" t="s">
        <v>717</v>
      </c>
      <c r="G152" s="44"/>
      <c r="H152" s="44"/>
      <c r="I152" s="44"/>
      <c r="J152" s="44"/>
      <c r="K152" s="44"/>
      <c r="L152" s="44"/>
      <c r="M152" s="276">
        <v>615.70000000000005</v>
      </c>
    </row>
    <row r="153" spans="1:13" outlineLevel="2" x14ac:dyDescent="0.25">
      <c r="A153" s="44" t="s">
        <v>150</v>
      </c>
      <c r="B153" s="274">
        <v>44491</v>
      </c>
      <c r="C153" s="44" t="s">
        <v>1034</v>
      </c>
      <c r="D153" s="275">
        <v>10400701977</v>
      </c>
      <c r="E153" s="44" t="s">
        <v>716</v>
      </c>
      <c r="F153" s="44" t="s">
        <v>717</v>
      </c>
      <c r="G153" s="44"/>
      <c r="H153" s="44"/>
      <c r="I153" s="44"/>
      <c r="J153" s="44"/>
      <c r="K153" s="44"/>
      <c r="L153" s="44"/>
      <c r="M153" s="276">
        <v>3649.59</v>
      </c>
    </row>
    <row r="154" spans="1:13" outlineLevel="2" x14ac:dyDescent="0.25">
      <c r="A154" s="44" t="s">
        <v>150</v>
      </c>
      <c r="B154" s="274">
        <v>44496</v>
      </c>
      <c r="C154" s="44" t="s">
        <v>1034</v>
      </c>
      <c r="D154" s="275">
        <v>300000103</v>
      </c>
      <c r="E154" s="44" t="s">
        <v>728</v>
      </c>
      <c r="F154" s="44" t="s">
        <v>742</v>
      </c>
      <c r="G154" s="44"/>
      <c r="H154" s="44"/>
      <c r="I154" s="44"/>
      <c r="J154" s="44"/>
      <c r="K154" s="44"/>
      <c r="L154" s="44"/>
      <c r="M154" s="276">
        <v>271.89999999999998</v>
      </c>
    </row>
    <row r="155" spans="1:13" outlineLevel="2" x14ac:dyDescent="0.25">
      <c r="A155" s="44" t="s">
        <v>150</v>
      </c>
      <c r="B155" s="274">
        <v>44496</v>
      </c>
      <c r="C155" s="44" t="s">
        <v>1034</v>
      </c>
      <c r="D155" s="275">
        <v>300000103</v>
      </c>
      <c r="E155" s="44" t="s">
        <v>728</v>
      </c>
      <c r="F155" s="44" t="s">
        <v>743</v>
      </c>
      <c r="G155" s="44"/>
      <c r="H155" s="44"/>
      <c r="I155" s="44"/>
      <c r="J155" s="44"/>
      <c r="K155" s="44"/>
      <c r="L155" s="44"/>
      <c r="M155" s="276">
        <v>1823.64</v>
      </c>
    </row>
    <row r="156" spans="1:13" outlineLevel="2" x14ac:dyDescent="0.25">
      <c r="A156" s="44" t="s">
        <v>150</v>
      </c>
      <c r="B156" s="274">
        <v>44496</v>
      </c>
      <c r="C156" s="44" t="s">
        <v>1034</v>
      </c>
      <c r="D156" s="275">
        <v>300000103</v>
      </c>
      <c r="E156" s="44" t="s">
        <v>728</v>
      </c>
      <c r="F156" s="44" t="s">
        <v>744</v>
      </c>
      <c r="G156" s="44"/>
      <c r="H156" s="44"/>
      <c r="I156" s="44"/>
      <c r="J156" s="44"/>
      <c r="K156" s="44"/>
      <c r="L156" s="44"/>
      <c r="M156" s="276">
        <v>255.37</v>
      </c>
    </row>
    <row r="157" spans="1:13" outlineLevel="2" x14ac:dyDescent="0.25">
      <c r="A157" s="44" t="s">
        <v>150</v>
      </c>
      <c r="B157" s="274">
        <v>44496</v>
      </c>
      <c r="C157" s="44" t="s">
        <v>1034</v>
      </c>
      <c r="D157" s="275">
        <v>300000103</v>
      </c>
      <c r="E157" s="44" t="s">
        <v>728</v>
      </c>
      <c r="F157" s="44" t="s">
        <v>745</v>
      </c>
      <c r="G157" s="44"/>
      <c r="H157" s="44"/>
      <c r="I157" s="44"/>
      <c r="J157" s="44"/>
      <c r="K157" s="44"/>
      <c r="L157" s="44"/>
      <c r="M157" s="276">
        <v>2495.04</v>
      </c>
    </row>
    <row r="158" spans="1:13" outlineLevel="2" x14ac:dyDescent="0.25">
      <c r="A158" s="44" t="s">
        <v>150</v>
      </c>
      <c r="B158" s="274">
        <v>44500</v>
      </c>
      <c r="C158" s="44" t="s">
        <v>1034</v>
      </c>
      <c r="D158" s="275">
        <v>60000298248</v>
      </c>
      <c r="E158" s="44" t="s">
        <v>718</v>
      </c>
      <c r="F158" s="44" t="s">
        <v>717</v>
      </c>
      <c r="G158" s="44"/>
      <c r="H158" s="44"/>
      <c r="I158" s="44"/>
      <c r="J158" s="44"/>
      <c r="K158" s="44"/>
      <c r="L158" s="44"/>
      <c r="M158" s="276">
        <v>1761.05</v>
      </c>
    </row>
    <row r="159" spans="1:13" outlineLevel="2" x14ac:dyDescent="0.25">
      <c r="A159" s="44" t="s">
        <v>150</v>
      </c>
      <c r="B159" s="274">
        <v>44491</v>
      </c>
      <c r="C159" s="44" t="s">
        <v>1035</v>
      </c>
      <c r="D159" s="275">
        <v>2800005426</v>
      </c>
      <c r="E159" s="44" t="s">
        <v>810</v>
      </c>
      <c r="F159" s="44" t="s">
        <v>835</v>
      </c>
      <c r="G159" s="44"/>
      <c r="H159" s="44"/>
      <c r="I159" s="44"/>
      <c r="J159" s="44"/>
      <c r="K159" s="44"/>
      <c r="L159" s="44"/>
      <c r="M159" s="276">
        <v>-415.06</v>
      </c>
    </row>
    <row r="160" spans="1:13" ht="30" outlineLevel="2" x14ac:dyDescent="0.25">
      <c r="A160" s="44" t="s">
        <v>150</v>
      </c>
      <c r="B160" s="274">
        <v>44475</v>
      </c>
      <c r="C160" s="44" t="s">
        <v>1032</v>
      </c>
      <c r="D160" s="275">
        <v>6546</v>
      </c>
      <c r="E160" s="44" t="s">
        <v>846</v>
      </c>
      <c r="F160" s="44" t="s">
        <v>857</v>
      </c>
      <c r="G160" s="44" t="s">
        <v>858</v>
      </c>
      <c r="H160" s="44"/>
      <c r="I160" s="44"/>
      <c r="J160" s="44"/>
      <c r="K160" s="44"/>
      <c r="L160" s="44"/>
      <c r="M160" s="276">
        <v>1347.18</v>
      </c>
    </row>
    <row r="161" spans="1:13" outlineLevel="2" x14ac:dyDescent="0.25">
      <c r="A161" s="44" t="s">
        <v>150</v>
      </c>
      <c r="B161" s="274">
        <v>44495</v>
      </c>
      <c r="C161" s="44" t="s">
        <v>1036</v>
      </c>
      <c r="D161" s="275">
        <v>100004980</v>
      </c>
      <c r="E161" s="44" t="s">
        <v>933</v>
      </c>
      <c r="F161" s="44" t="s">
        <v>934</v>
      </c>
      <c r="G161" s="44" t="s">
        <v>935</v>
      </c>
      <c r="H161" s="44">
        <v>225.6198</v>
      </c>
      <c r="I161" s="44">
        <v>0</v>
      </c>
      <c r="J161" s="44">
        <v>0</v>
      </c>
      <c r="K161" s="44">
        <v>1</v>
      </c>
      <c r="L161" s="277">
        <v>1300</v>
      </c>
      <c r="M161" s="269">
        <f>L161-(H161+I161+J161)*K161</f>
        <v>1074.3802000000001</v>
      </c>
    </row>
    <row r="162" spans="1:13" outlineLevel="1" x14ac:dyDescent="0.25">
      <c r="A162" s="282" t="s">
        <v>645</v>
      </c>
      <c r="B162" s="741"/>
      <c r="C162" s="742"/>
      <c r="D162" s="742"/>
      <c r="E162" s="742"/>
      <c r="F162" s="742"/>
      <c r="G162" s="743"/>
      <c r="H162" s="283"/>
      <c r="I162" s="283"/>
      <c r="J162" s="283"/>
      <c r="K162" s="283"/>
      <c r="L162" s="284"/>
      <c r="M162" s="285">
        <f>SUBTOTAL(9,M142:M161)</f>
        <v>26707.600200000001</v>
      </c>
    </row>
    <row r="163" spans="1:13" outlineLevel="2" x14ac:dyDescent="0.25">
      <c r="A163" s="44" t="s">
        <v>147</v>
      </c>
      <c r="B163" s="274">
        <v>44474</v>
      </c>
      <c r="C163" s="44" t="s">
        <v>1034</v>
      </c>
      <c r="D163" s="275">
        <v>200000058</v>
      </c>
      <c r="E163" s="44" t="s">
        <v>733</v>
      </c>
      <c r="F163" s="44" t="s">
        <v>746</v>
      </c>
      <c r="G163" s="44"/>
      <c r="H163" s="44"/>
      <c r="I163" s="44"/>
      <c r="J163" s="44"/>
      <c r="K163" s="44"/>
      <c r="L163" s="44"/>
      <c r="M163" s="276">
        <v>1300</v>
      </c>
    </row>
    <row r="164" spans="1:13" outlineLevel="2" x14ac:dyDescent="0.25">
      <c r="A164" s="278" t="s">
        <v>147</v>
      </c>
      <c r="B164" s="279">
        <v>44474</v>
      </c>
      <c r="C164" s="278" t="s">
        <v>1033</v>
      </c>
      <c r="D164" s="275">
        <v>7653</v>
      </c>
      <c r="E164" s="278" t="s">
        <v>841</v>
      </c>
      <c r="F164" s="278" t="s">
        <v>842</v>
      </c>
      <c r="G164" s="278"/>
      <c r="H164" s="278"/>
      <c r="I164" s="278"/>
      <c r="J164" s="278"/>
      <c r="K164" s="278"/>
      <c r="L164" s="278"/>
      <c r="M164" s="269">
        <v>650</v>
      </c>
    </row>
    <row r="165" spans="1:13" outlineLevel="2" x14ac:dyDescent="0.25">
      <c r="A165" s="44" t="s">
        <v>147</v>
      </c>
      <c r="B165" s="274">
        <v>44481</v>
      </c>
      <c r="C165" s="44" t="s">
        <v>1032</v>
      </c>
      <c r="D165" s="275">
        <v>6563</v>
      </c>
      <c r="E165" s="44" t="s">
        <v>846</v>
      </c>
      <c r="F165" s="44" t="s">
        <v>867</v>
      </c>
      <c r="G165" s="44" t="s">
        <v>868</v>
      </c>
      <c r="H165" s="44"/>
      <c r="I165" s="44"/>
      <c r="J165" s="44"/>
      <c r="K165" s="44"/>
      <c r="L165" s="44"/>
      <c r="M165" s="276">
        <v>143.5</v>
      </c>
    </row>
    <row r="166" spans="1:13" outlineLevel="2" x14ac:dyDescent="0.25">
      <c r="A166" s="44" t="s">
        <v>147</v>
      </c>
      <c r="B166" s="274">
        <v>44481</v>
      </c>
      <c r="C166" s="44" t="s">
        <v>1032</v>
      </c>
      <c r="D166" s="275">
        <v>6563</v>
      </c>
      <c r="E166" s="44" t="s">
        <v>846</v>
      </c>
      <c r="F166" s="44" t="s">
        <v>213</v>
      </c>
      <c r="G166" s="44" t="s">
        <v>864</v>
      </c>
      <c r="H166" s="44"/>
      <c r="I166" s="44"/>
      <c r="J166" s="44"/>
      <c r="K166" s="44"/>
      <c r="L166" s="44"/>
      <c r="M166" s="276">
        <v>72.98</v>
      </c>
    </row>
    <row r="167" spans="1:13" ht="30" outlineLevel="2" x14ac:dyDescent="0.25">
      <c r="A167" s="44" t="s">
        <v>147</v>
      </c>
      <c r="B167" s="274">
        <v>44482</v>
      </c>
      <c r="C167" s="44" t="s">
        <v>1032</v>
      </c>
      <c r="D167" s="275">
        <v>6569</v>
      </c>
      <c r="E167" s="44" t="s">
        <v>846</v>
      </c>
      <c r="F167" s="44" t="s">
        <v>869</v>
      </c>
      <c r="G167" s="44" t="s">
        <v>870</v>
      </c>
      <c r="H167" s="44"/>
      <c r="I167" s="44"/>
      <c r="J167" s="44"/>
      <c r="K167" s="44"/>
      <c r="L167" s="44"/>
      <c r="M167" s="276">
        <v>1468.83</v>
      </c>
    </row>
    <row r="168" spans="1:13" outlineLevel="2" x14ac:dyDescent="0.25">
      <c r="A168" s="44" t="s">
        <v>147</v>
      </c>
      <c r="B168" s="274">
        <v>44496</v>
      </c>
      <c r="C168" s="44" t="s">
        <v>1032</v>
      </c>
      <c r="D168" s="275">
        <v>6643</v>
      </c>
      <c r="E168" s="44" t="s">
        <v>846</v>
      </c>
      <c r="F168" s="44" t="s">
        <v>867</v>
      </c>
      <c r="G168" s="44" t="s">
        <v>868</v>
      </c>
      <c r="H168" s="44"/>
      <c r="I168" s="44"/>
      <c r="J168" s="44"/>
      <c r="K168" s="44"/>
      <c r="L168" s="44"/>
      <c r="M168" s="276">
        <v>143.5</v>
      </c>
    </row>
    <row r="169" spans="1:13" outlineLevel="2" x14ac:dyDescent="0.25">
      <c r="A169" s="44" t="s">
        <v>147</v>
      </c>
      <c r="B169" s="274">
        <v>44473</v>
      </c>
      <c r="C169" s="44" t="s">
        <v>1036</v>
      </c>
      <c r="D169" s="275">
        <v>100004933</v>
      </c>
      <c r="E169" s="44" t="s">
        <v>936</v>
      </c>
      <c r="F169" s="44" t="s">
        <v>937</v>
      </c>
      <c r="G169" s="44"/>
      <c r="H169" s="44">
        <v>1579.3386</v>
      </c>
      <c r="I169" s="44">
        <v>0</v>
      </c>
      <c r="J169" s="44">
        <v>0</v>
      </c>
      <c r="K169" s="44">
        <v>1</v>
      </c>
      <c r="L169" s="277">
        <v>9800</v>
      </c>
      <c r="M169" s="269">
        <f>L169-(H169+I169+J169)*K169</f>
        <v>8220.6614000000009</v>
      </c>
    </row>
    <row r="170" spans="1:13" outlineLevel="2" x14ac:dyDescent="0.25">
      <c r="A170" s="44" t="s">
        <v>147</v>
      </c>
      <c r="B170" s="274">
        <v>44476</v>
      </c>
      <c r="C170" s="44" t="s">
        <v>1036</v>
      </c>
      <c r="D170" s="275">
        <v>100004938</v>
      </c>
      <c r="E170" s="44" t="s">
        <v>938</v>
      </c>
      <c r="F170" s="44" t="s">
        <v>938</v>
      </c>
      <c r="G170" s="44"/>
      <c r="H170" s="44">
        <v>0</v>
      </c>
      <c r="I170" s="44">
        <v>0</v>
      </c>
      <c r="J170" s="44">
        <v>0</v>
      </c>
      <c r="K170" s="44">
        <v>1</v>
      </c>
      <c r="L170" s="44">
        <v>250</v>
      </c>
      <c r="M170" s="269">
        <f>L170-(H170+I170+J170)*K170</f>
        <v>250</v>
      </c>
    </row>
    <row r="171" spans="1:13" outlineLevel="1" x14ac:dyDescent="0.25">
      <c r="A171" s="286" t="s">
        <v>1042</v>
      </c>
      <c r="B171" s="738"/>
      <c r="C171" s="739"/>
      <c r="D171" s="739"/>
      <c r="E171" s="739"/>
      <c r="F171" s="739"/>
      <c r="G171" s="740"/>
      <c r="H171" s="287"/>
      <c r="I171" s="287"/>
      <c r="J171" s="287"/>
      <c r="K171" s="287"/>
      <c r="L171" s="287"/>
      <c r="M171" s="288">
        <f>SUBTOTAL(9,M163:M170)</f>
        <v>12249.4714</v>
      </c>
    </row>
    <row r="172" spans="1:13" outlineLevel="2" x14ac:dyDescent="0.25">
      <c r="A172" s="44" t="s">
        <v>499</v>
      </c>
      <c r="B172" s="274">
        <v>44470</v>
      </c>
      <c r="C172" s="44" t="s">
        <v>1034</v>
      </c>
      <c r="D172" s="275">
        <v>500033638</v>
      </c>
      <c r="E172" s="44" t="s">
        <v>713</v>
      </c>
      <c r="F172" s="44" t="s">
        <v>714</v>
      </c>
      <c r="G172" s="44"/>
      <c r="H172" s="44"/>
      <c r="I172" s="44"/>
      <c r="J172" s="44"/>
      <c r="K172" s="44"/>
      <c r="L172" s="44"/>
      <c r="M172" s="276">
        <v>1252.6099999999999</v>
      </c>
    </row>
    <row r="173" spans="1:13" outlineLevel="1" x14ac:dyDescent="0.25">
      <c r="A173" s="286" t="s">
        <v>1043</v>
      </c>
      <c r="B173" s="738"/>
      <c r="C173" s="739"/>
      <c r="D173" s="739"/>
      <c r="E173" s="739"/>
      <c r="F173" s="739"/>
      <c r="G173" s="740"/>
      <c r="H173" s="287"/>
      <c r="I173" s="287"/>
      <c r="J173" s="287"/>
      <c r="K173" s="287"/>
      <c r="L173" s="287"/>
      <c r="M173" s="288">
        <f>SUBTOTAL(9,M172:M172)</f>
        <v>1252.6099999999999</v>
      </c>
    </row>
    <row r="174" spans="1:13" outlineLevel="2" x14ac:dyDescent="0.25">
      <c r="A174" s="44" t="s">
        <v>292</v>
      </c>
      <c r="B174" s="274">
        <v>44470</v>
      </c>
      <c r="C174" s="44" t="s">
        <v>1034</v>
      </c>
      <c r="D174" s="275">
        <v>500033638</v>
      </c>
      <c r="E174" s="44" t="s">
        <v>713</v>
      </c>
      <c r="F174" s="44" t="s">
        <v>714</v>
      </c>
      <c r="G174" s="44"/>
      <c r="H174" s="44"/>
      <c r="I174" s="44"/>
      <c r="J174" s="44"/>
      <c r="K174" s="44"/>
      <c r="L174" s="44"/>
      <c r="M174" s="276">
        <v>1252.6099999999999</v>
      </c>
    </row>
    <row r="175" spans="1:13" outlineLevel="2" x14ac:dyDescent="0.25">
      <c r="A175" s="44" t="s">
        <v>292</v>
      </c>
      <c r="B175" s="274">
        <v>44484</v>
      </c>
      <c r="C175" s="44" t="s">
        <v>1032</v>
      </c>
      <c r="D175" s="275">
        <v>6586</v>
      </c>
      <c r="E175" s="44" t="s">
        <v>846</v>
      </c>
      <c r="F175" s="44" t="s">
        <v>871</v>
      </c>
      <c r="G175" s="44" t="s">
        <v>872</v>
      </c>
      <c r="H175" s="44"/>
      <c r="I175" s="44"/>
      <c r="J175" s="44"/>
      <c r="K175" s="44"/>
      <c r="L175" s="44"/>
      <c r="M175" s="276">
        <v>4293.6000000000004</v>
      </c>
    </row>
    <row r="176" spans="1:13" outlineLevel="2" x14ac:dyDescent="0.25">
      <c r="A176" s="44" t="s">
        <v>292</v>
      </c>
      <c r="B176" s="274">
        <v>44470</v>
      </c>
      <c r="C176" s="44" t="s">
        <v>1036</v>
      </c>
      <c r="D176" s="275">
        <v>100004929</v>
      </c>
      <c r="E176" s="44" t="s">
        <v>939</v>
      </c>
      <c r="F176" s="44" t="s">
        <v>940</v>
      </c>
      <c r="G176" s="44" t="s">
        <v>941</v>
      </c>
      <c r="H176" s="44">
        <v>0</v>
      </c>
      <c r="I176" s="44">
        <v>0</v>
      </c>
      <c r="J176" s="44">
        <v>0</v>
      </c>
      <c r="K176" s="44">
        <v>1</v>
      </c>
      <c r="L176" s="44">
        <v>800</v>
      </c>
      <c r="M176" s="269">
        <f>L176-(H176+I176+J176)*K176</f>
        <v>800</v>
      </c>
    </row>
    <row r="177" spans="1:13" outlineLevel="1" x14ac:dyDescent="0.25">
      <c r="A177" s="286" t="s">
        <v>1044</v>
      </c>
      <c r="B177" s="738"/>
      <c r="C177" s="739"/>
      <c r="D177" s="739"/>
      <c r="E177" s="739"/>
      <c r="F177" s="739"/>
      <c r="G177" s="740"/>
      <c r="H177" s="287"/>
      <c r="I177" s="287"/>
      <c r="J177" s="287"/>
      <c r="K177" s="287"/>
      <c r="L177" s="287"/>
      <c r="M177" s="288">
        <f>SUBTOTAL(9,M174:M176)</f>
        <v>6346.21</v>
      </c>
    </row>
    <row r="178" spans="1:13" outlineLevel="2" x14ac:dyDescent="0.25">
      <c r="A178" s="44" t="s">
        <v>229</v>
      </c>
      <c r="B178" s="274">
        <v>44474</v>
      </c>
      <c r="C178" s="44" t="s">
        <v>1034</v>
      </c>
      <c r="D178" s="275">
        <v>200000058</v>
      </c>
      <c r="E178" s="44" t="s">
        <v>733</v>
      </c>
      <c r="F178" s="44" t="s">
        <v>747</v>
      </c>
      <c r="G178" s="44"/>
      <c r="H178" s="44"/>
      <c r="I178" s="44"/>
      <c r="J178" s="44"/>
      <c r="K178" s="44"/>
      <c r="L178" s="44"/>
      <c r="M178" s="276">
        <v>2100</v>
      </c>
    </row>
    <row r="179" spans="1:13" outlineLevel="2" x14ac:dyDescent="0.25">
      <c r="A179" s="44" t="s">
        <v>229</v>
      </c>
      <c r="B179" s="274">
        <v>44474</v>
      </c>
      <c r="C179" s="44" t="s">
        <v>1034</v>
      </c>
      <c r="D179" s="275">
        <v>200000058</v>
      </c>
      <c r="E179" s="44" t="s">
        <v>733</v>
      </c>
      <c r="F179" s="44" t="s">
        <v>734</v>
      </c>
      <c r="G179" s="44"/>
      <c r="H179" s="44"/>
      <c r="I179" s="44"/>
      <c r="J179" s="44"/>
      <c r="K179" s="44"/>
      <c r="L179" s="44"/>
      <c r="M179" s="276">
        <v>1300</v>
      </c>
    </row>
    <row r="180" spans="1:13" ht="30" outlineLevel="2" x14ac:dyDescent="0.25">
      <c r="A180" s="44" t="s">
        <v>229</v>
      </c>
      <c r="B180" s="274">
        <v>44473</v>
      </c>
      <c r="C180" s="44" t="s">
        <v>1032</v>
      </c>
      <c r="D180" s="275">
        <v>6537</v>
      </c>
      <c r="E180" s="44" t="s">
        <v>846</v>
      </c>
      <c r="F180" s="44" t="s">
        <v>873</v>
      </c>
      <c r="G180" s="44" t="s">
        <v>874</v>
      </c>
      <c r="H180" s="44"/>
      <c r="I180" s="44"/>
      <c r="J180" s="44"/>
      <c r="K180" s="44"/>
      <c r="L180" s="44"/>
      <c r="M180" s="276">
        <v>384.17</v>
      </c>
    </row>
    <row r="181" spans="1:13" outlineLevel="2" x14ac:dyDescent="0.25">
      <c r="A181" s="44" t="s">
        <v>229</v>
      </c>
      <c r="B181" s="274">
        <v>44475</v>
      </c>
      <c r="C181" s="44" t="s">
        <v>1032</v>
      </c>
      <c r="D181" s="275">
        <v>6550</v>
      </c>
      <c r="E181" s="44" t="s">
        <v>846</v>
      </c>
      <c r="F181" s="44" t="s">
        <v>867</v>
      </c>
      <c r="G181" s="44" t="s">
        <v>868</v>
      </c>
      <c r="H181" s="44"/>
      <c r="I181" s="44"/>
      <c r="J181" s="44"/>
      <c r="K181" s="44"/>
      <c r="L181" s="44"/>
      <c r="M181" s="276">
        <v>143.5</v>
      </c>
    </row>
    <row r="182" spans="1:13" outlineLevel="1" x14ac:dyDescent="0.25">
      <c r="A182" s="286" t="s">
        <v>1045</v>
      </c>
      <c r="B182" s="738"/>
      <c r="C182" s="739"/>
      <c r="D182" s="739"/>
      <c r="E182" s="739"/>
      <c r="F182" s="739"/>
      <c r="G182" s="740"/>
      <c r="H182" s="287"/>
      <c r="I182" s="287"/>
      <c r="J182" s="287"/>
      <c r="K182" s="287"/>
      <c r="L182" s="287"/>
      <c r="M182" s="288">
        <f>SUBTOTAL(9,M178:M181)</f>
        <v>3927.67</v>
      </c>
    </row>
    <row r="183" spans="1:13" outlineLevel="2" x14ac:dyDescent="0.25">
      <c r="A183" s="44" t="s">
        <v>118</v>
      </c>
      <c r="B183" s="274">
        <v>44495</v>
      </c>
      <c r="C183" s="44" t="s">
        <v>1034</v>
      </c>
      <c r="D183" s="275">
        <v>500003105</v>
      </c>
      <c r="E183" s="44" t="s">
        <v>724</v>
      </c>
      <c r="F183" s="44" t="s">
        <v>735</v>
      </c>
      <c r="G183" s="44"/>
      <c r="H183" s="44"/>
      <c r="I183" s="44"/>
      <c r="J183" s="44"/>
      <c r="K183" s="44"/>
      <c r="L183" s="44"/>
      <c r="M183" s="276">
        <v>1441.02</v>
      </c>
    </row>
    <row r="184" spans="1:13" outlineLevel="1" x14ac:dyDescent="0.25">
      <c r="A184" s="286" t="s">
        <v>1046</v>
      </c>
      <c r="B184" s="738"/>
      <c r="C184" s="739"/>
      <c r="D184" s="739"/>
      <c r="E184" s="739"/>
      <c r="F184" s="739"/>
      <c r="G184" s="740"/>
      <c r="H184" s="287"/>
      <c r="I184" s="287"/>
      <c r="J184" s="287"/>
      <c r="K184" s="287"/>
      <c r="L184" s="287"/>
      <c r="M184" s="288">
        <f>SUBTOTAL(9,M183:M183)</f>
        <v>1441.02</v>
      </c>
    </row>
    <row r="185" spans="1:13" outlineLevel="2" x14ac:dyDescent="0.25">
      <c r="A185" s="44" t="s">
        <v>124</v>
      </c>
      <c r="B185" s="274">
        <v>44495</v>
      </c>
      <c r="C185" s="44" t="s">
        <v>1034</v>
      </c>
      <c r="D185" s="275">
        <v>500003105</v>
      </c>
      <c r="E185" s="44" t="s">
        <v>724</v>
      </c>
      <c r="F185" s="44" t="s">
        <v>735</v>
      </c>
      <c r="G185" s="44"/>
      <c r="H185" s="44"/>
      <c r="I185" s="44"/>
      <c r="J185" s="44"/>
      <c r="K185" s="44"/>
      <c r="L185" s="44"/>
      <c r="M185" s="276">
        <v>1441.02</v>
      </c>
    </row>
    <row r="186" spans="1:13" outlineLevel="1" x14ac:dyDescent="0.25">
      <c r="A186" s="286" t="s">
        <v>1047</v>
      </c>
      <c r="B186" s="738"/>
      <c r="C186" s="739"/>
      <c r="D186" s="739"/>
      <c r="E186" s="739"/>
      <c r="F186" s="739"/>
      <c r="G186" s="740"/>
      <c r="H186" s="287"/>
      <c r="I186" s="287"/>
      <c r="J186" s="287"/>
      <c r="K186" s="287"/>
      <c r="L186" s="287"/>
      <c r="M186" s="288">
        <f>SUBTOTAL(9,M185:M185)</f>
        <v>1441.02</v>
      </c>
    </row>
    <row r="187" spans="1:13" outlineLevel="2" x14ac:dyDescent="0.25">
      <c r="A187" s="44" t="s">
        <v>247</v>
      </c>
      <c r="B187" s="274">
        <v>44474</v>
      </c>
      <c r="C187" s="44" t="s">
        <v>1034</v>
      </c>
      <c r="D187" s="275">
        <v>200000058</v>
      </c>
      <c r="E187" s="44" t="s">
        <v>733</v>
      </c>
      <c r="F187" s="44" t="s">
        <v>734</v>
      </c>
      <c r="G187" s="44"/>
      <c r="H187" s="44"/>
      <c r="I187" s="44"/>
      <c r="J187" s="44"/>
      <c r="K187" s="44"/>
      <c r="L187" s="44"/>
      <c r="M187" s="276">
        <v>1300</v>
      </c>
    </row>
    <row r="188" spans="1:13" outlineLevel="1" x14ac:dyDescent="0.25">
      <c r="A188" s="286" t="s">
        <v>1048</v>
      </c>
      <c r="B188" s="738"/>
      <c r="C188" s="739"/>
      <c r="D188" s="739"/>
      <c r="E188" s="739"/>
      <c r="F188" s="739"/>
      <c r="G188" s="740"/>
      <c r="H188" s="287"/>
      <c r="I188" s="287"/>
      <c r="J188" s="287"/>
      <c r="K188" s="287"/>
      <c r="L188" s="287"/>
      <c r="M188" s="288">
        <f>SUBTOTAL(9,M187:M187)</f>
        <v>1300</v>
      </c>
    </row>
    <row r="189" spans="1:13" outlineLevel="2" x14ac:dyDescent="0.25">
      <c r="A189" s="44" t="s">
        <v>434</v>
      </c>
      <c r="B189" s="274">
        <v>44470</v>
      </c>
      <c r="C189" s="44" t="s">
        <v>1034</v>
      </c>
      <c r="D189" s="275">
        <v>500033638</v>
      </c>
      <c r="E189" s="44" t="s">
        <v>713</v>
      </c>
      <c r="F189" s="44" t="s">
        <v>714</v>
      </c>
      <c r="G189" s="44"/>
      <c r="H189" s="44"/>
      <c r="I189" s="44"/>
      <c r="J189" s="44"/>
      <c r="K189" s="44"/>
      <c r="L189" s="44"/>
      <c r="M189" s="276">
        <v>1252.6099999999999</v>
      </c>
    </row>
    <row r="190" spans="1:13" outlineLevel="1" x14ac:dyDescent="0.25">
      <c r="A190" s="286" t="s">
        <v>1049</v>
      </c>
      <c r="B190" s="738"/>
      <c r="C190" s="739"/>
      <c r="D190" s="739"/>
      <c r="E190" s="739"/>
      <c r="F190" s="739"/>
      <c r="G190" s="740"/>
      <c r="H190" s="287"/>
      <c r="I190" s="287"/>
      <c r="J190" s="287"/>
      <c r="K190" s="287"/>
      <c r="L190" s="287"/>
      <c r="M190" s="288">
        <f>SUBTOTAL(9,M189:M189)</f>
        <v>1252.6099999999999</v>
      </c>
    </row>
    <row r="191" spans="1:13" outlineLevel="2" x14ac:dyDescent="0.25">
      <c r="A191" s="44" t="s">
        <v>174</v>
      </c>
      <c r="B191" s="274">
        <v>44470</v>
      </c>
      <c r="C191" s="44" t="s">
        <v>1034</v>
      </c>
      <c r="D191" s="275">
        <v>500033638</v>
      </c>
      <c r="E191" s="44" t="s">
        <v>713</v>
      </c>
      <c r="F191" s="44" t="s">
        <v>714</v>
      </c>
      <c r="G191" s="44"/>
      <c r="H191" s="44"/>
      <c r="I191" s="44"/>
      <c r="J191" s="44"/>
      <c r="K191" s="44"/>
      <c r="L191" s="44"/>
      <c r="M191" s="276">
        <v>1791.53</v>
      </c>
    </row>
    <row r="192" spans="1:13" outlineLevel="2" x14ac:dyDescent="0.25">
      <c r="A192" s="44" t="s">
        <v>174</v>
      </c>
      <c r="B192" s="274">
        <v>44470</v>
      </c>
      <c r="C192" s="44" t="s">
        <v>1034</v>
      </c>
      <c r="D192" s="275">
        <v>10400572393</v>
      </c>
      <c r="E192" s="44" t="s">
        <v>716</v>
      </c>
      <c r="F192" s="44" t="s">
        <v>717</v>
      </c>
      <c r="G192" s="44"/>
      <c r="H192" s="44"/>
      <c r="I192" s="44"/>
      <c r="J192" s="44"/>
      <c r="K192" s="44"/>
      <c r="L192" s="44"/>
      <c r="M192" s="276">
        <v>876.03</v>
      </c>
    </row>
    <row r="193" spans="1:13" outlineLevel="2" x14ac:dyDescent="0.25">
      <c r="A193" s="44" t="s">
        <v>174</v>
      </c>
      <c r="B193" s="274">
        <v>44470</v>
      </c>
      <c r="C193" s="44" t="s">
        <v>1034</v>
      </c>
      <c r="D193" s="275">
        <v>10400578195</v>
      </c>
      <c r="E193" s="44" t="s">
        <v>716</v>
      </c>
      <c r="F193" s="44" t="s">
        <v>717</v>
      </c>
      <c r="G193" s="44"/>
      <c r="H193" s="44"/>
      <c r="I193" s="44"/>
      <c r="J193" s="44"/>
      <c r="K193" s="44"/>
      <c r="L193" s="44"/>
      <c r="M193" s="276">
        <v>1645.45</v>
      </c>
    </row>
    <row r="194" spans="1:13" outlineLevel="2" x14ac:dyDescent="0.25">
      <c r="A194" s="44" t="s">
        <v>174</v>
      </c>
      <c r="B194" s="274">
        <v>44470</v>
      </c>
      <c r="C194" s="44" t="s">
        <v>1034</v>
      </c>
      <c r="D194" s="275">
        <v>60000274229</v>
      </c>
      <c r="E194" s="44" t="s">
        <v>718</v>
      </c>
      <c r="F194" s="44" t="s">
        <v>717</v>
      </c>
      <c r="G194" s="44"/>
      <c r="H194" s="44"/>
      <c r="I194" s="44"/>
      <c r="J194" s="44"/>
      <c r="K194" s="44"/>
      <c r="L194" s="44"/>
      <c r="M194" s="276">
        <v>3415.28</v>
      </c>
    </row>
    <row r="195" spans="1:13" outlineLevel="2" x14ac:dyDescent="0.25">
      <c r="A195" s="44" t="s">
        <v>174</v>
      </c>
      <c r="B195" s="274">
        <v>44470</v>
      </c>
      <c r="C195" s="44" t="s">
        <v>1034</v>
      </c>
      <c r="D195" s="275">
        <v>60000285996</v>
      </c>
      <c r="E195" s="44" t="s">
        <v>718</v>
      </c>
      <c r="F195" s="44" t="s">
        <v>717</v>
      </c>
      <c r="G195" s="44"/>
      <c r="H195" s="44"/>
      <c r="I195" s="44"/>
      <c r="J195" s="44"/>
      <c r="K195" s="44"/>
      <c r="L195" s="44"/>
      <c r="M195" s="276">
        <v>10897</v>
      </c>
    </row>
    <row r="196" spans="1:13" outlineLevel="2" x14ac:dyDescent="0.25">
      <c r="A196" s="44" t="s">
        <v>174</v>
      </c>
      <c r="B196" s="274">
        <v>44500</v>
      </c>
      <c r="C196" s="44" t="s">
        <v>1034</v>
      </c>
      <c r="D196" s="275">
        <v>60000298248</v>
      </c>
      <c r="E196" s="44" t="s">
        <v>718</v>
      </c>
      <c r="F196" s="44" t="s">
        <v>717</v>
      </c>
      <c r="G196" s="44"/>
      <c r="H196" s="44"/>
      <c r="I196" s="44"/>
      <c r="J196" s="44"/>
      <c r="K196" s="44"/>
      <c r="L196" s="44"/>
      <c r="M196" s="276">
        <v>10177.64</v>
      </c>
    </row>
    <row r="197" spans="1:13" outlineLevel="2" x14ac:dyDescent="0.25">
      <c r="A197" s="44" t="s">
        <v>174</v>
      </c>
      <c r="B197" s="274">
        <v>44475</v>
      </c>
      <c r="C197" s="44" t="s">
        <v>1032</v>
      </c>
      <c r="D197" s="275">
        <v>6547</v>
      </c>
      <c r="E197" s="44" t="s">
        <v>846</v>
      </c>
      <c r="F197" s="44" t="s">
        <v>875</v>
      </c>
      <c r="G197" s="44" t="s">
        <v>876</v>
      </c>
      <c r="H197" s="44"/>
      <c r="I197" s="44"/>
      <c r="J197" s="44"/>
      <c r="K197" s="44"/>
      <c r="L197" s="44"/>
      <c r="M197" s="276">
        <v>212.4</v>
      </c>
    </row>
    <row r="198" spans="1:13" ht="30" outlineLevel="2" x14ac:dyDescent="0.25">
      <c r="A198" s="44" t="s">
        <v>174</v>
      </c>
      <c r="B198" s="274">
        <v>44489</v>
      </c>
      <c r="C198" s="44" t="s">
        <v>1036</v>
      </c>
      <c r="D198" s="275">
        <v>100004960</v>
      </c>
      <c r="E198" s="44" t="s">
        <v>716</v>
      </c>
      <c r="F198" s="44" t="s">
        <v>717</v>
      </c>
      <c r="G198" s="44" t="s">
        <v>942</v>
      </c>
      <c r="H198" s="44">
        <v>30.371880000000001</v>
      </c>
      <c r="I198" s="44">
        <v>0</v>
      </c>
      <c r="J198" s="44">
        <v>0</v>
      </c>
      <c r="K198" s="44">
        <v>4</v>
      </c>
      <c r="L198" s="44">
        <v>700</v>
      </c>
      <c r="M198" s="269">
        <f>L198-(H198+I198+J198)*K198</f>
        <v>578.51247999999998</v>
      </c>
    </row>
    <row r="199" spans="1:13" ht="30" outlineLevel="2" x14ac:dyDescent="0.25">
      <c r="A199" s="44" t="s">
        <v>174</v>
      </c>
      <c r="B199" s="274">
        <v>44489</v>
      </c>
      <c r="C199" s="44" t="s">
        <v>1036</v>
      </c>
      <c r="D199" s="275">
        <v>100004960</v>
      </c>
      <c r="E199" s="44" t="s">
        <v>915</v>
      </c>
      <c r="F199" s="44" t="s">
        <v>717</v>
      </c>
      <c r="G199" s="44" t="s">
        <v>942</v>
      </c>
      <c r="H199" s="44">
        <v>27.768594</v>
      </c>
      <c r="I199" s="44">
        <v>0</v>
      </c>
      <c r="J199" s="44">
        <v>0</v>
      </c>
      <c r="K199" s="44">
        <v>3</v>
      </c>
      <c r="L199" s="44">
        <v>480</v>
      </c>
      <c r="M199" s="269">
        <f>L199-(H199+I199+J199)*K199</f>
        <v>396.69421799999998</v>
      </c>
    </row>
    <row r="200" spans="1:13" ht="30" outlineLevel="2" x14ac:dyDescent="0.25">
      <c r="A200" s="44" t="s">
        <v>174</v>
      </c>
      <c r="B200" s="274">
        <v>44489</v>
      </c>
      <c r="C200" s="44" t="s">
        <v>1036</v>
      </c>
      <c r="D200" s="275">
        <v>100004960</v>
      </c>
      <c r="E200" s="44" t="s">
        <v>943</v>
      </c>
      <c r="F200" s="44" t="s">
        <v>717</v>
      </c>
      <c r="G200" s="44" t="s">
        <v>942</v>
      </c>
      <c r="H200" s="44">
        <v>27.768594</v>
      </c>
      <c r="I200" s="44">
        <v>0</v>
      </c>
      <c r="J200" s="44">
        <v>0</v>
      </c>
      <c r="K200" s="44">
        <v>5</v>
      </c>
      <c r="L200" s="44">
        <v>800</v>
      </c>
      <c r="M200" s="269">
        <f>L200-(H200+I200+J200)*K200</f>
        <v>661.15702999999996</v>
      </c>
    </row>
    <row r="201" spans="1:13" outlineLevel="1" x14ac:dyDescent="0.25">
      <c r="A201" s="282" t="s">
        <v>646</v>
      </c>
      <c r="B201" s="741"/>
      <c r="C201" s="742"/>
      <c r="D201" s="742"/>
      <c r="E201" s="742"/>
      <c r="F201" s="742"/>
      <c r="G201" s="743"/>
      <c r="H201" s="283"/>
      <c r="I201" s="283"/>
      <c r="J201" s="283"/>
      <c r="K201" s="283"/>
      <c r="L201" s="283"/>
      <c r="M201" s="285">
        <f>SUBTOTAL(9,M191:M200)</f>
        <v>30651.693728000002</v>
      </c>
    </row>
    <row r="202" spans="1:13" outlineLevel="2" x14ac:dyDescent="0.25">
      <c r="A202" s="44" t="s">
        <v>305</v>
      </c>
      <c r="B202" s="274">
        <v>44496</v>
      </c>
      <c r="C202" s="44" t="s">
        <v>1034</v>
      </c>
      <c r="D202" s="275">
        <v>200025670</v>
      </c>
      <c r="E202" s="44" t="s">
        <v>748</v>
      </c>
      <c r="F202" s="44" t="s">
        <v>749</v>
      </c>
      <c r="G202" s="44"/>
      <c r="H202" s="44"/>
      <c r="I202" s="44"/>
      <c r="J202" s="44"/>
      <c r="K202" s="44"/>
      <c r="L202" s="44"/>
      <c r="M202" s="276">
        <v>138.80000000000001</v>
      </c>
    </row>
    <row r="203" spans="1:13" outlineLevel="2" x14ac:dyDescent="0.25">
      <c r="A203" s="44" t="s">
        <v>305</v>
      </c>
      <c r="B203" s="274">
        <v>44496</v>
      </c>
      <c r="C203" s="44" t="s">
        <v>1034</v>
      </c>
      <c r="D203" s="275">
        <v>300000103</v>
      </c>
      <c r="E203" s="44" t="s">
        <v>728</v>
      </c>
      <c r="F203" s="44" t="s">
        <v>750</v>
      </c>
      <c r="G203" s="44"/>
      <c r="H203" s="44"/>
      <c r="I203" s="44"/>
      <c r="J203" s="44"/>
      <c r="K203" s="44"/>
      <c r="L203" s="44"/>
      <c r="M203" s="276">
        <v>924.79</v>
      </c>
    </row>
    <row r="204" spans="1:13" outlineLevel="2" x14ac:dyDescent="0.25">
      <c r="A204" s="44" t="s">
        <v>305</v>
      </c>
      <c r="B204" s="274">
        <v>44473</v>
      </c>
      <c r="C204" s="44" t="s">
        <v>1032</v>
      </c>
      <c r="D204" s="275">
        <v>6536</v>
      </c>
      <c r="E204" s="44" t="s">
        <v>846</v>
      </c>
      <c r="F204" s="44" t="s">
        <v>877</v>
      </c>
      <c r="G204" s="44" t="s">
        <v>878</v>
      </c>
      <c r="H204" s="44"/>
      <c r="I204" s="44"/>
      <c r="J204" s="44"/>
      <c r="K204" s="44"/>
      <c r="L204" s="44"/>
      <c r="M204" s="276">
        <v>252.44</v>
      </c>
    </row>
    <row r="205" spans="1:13" ht="30" outlineLevel="2" x14ac:dyDescent="0.25">
      <c r="A205" s="44" t="s">
        <v>305</v>
      </c>
      <c r="B205" s="274">
        <v>44475</v>
      </c>
      <c r="C205" s="44" t="s">
        <v>1032</v>
      </c>
      <c r="D205" s="275">
        <v>6548</v>
      </c>
      <c r="E205" s="44" t="s">
        <v>846</v>
      </c>
      <c r="F205" s="44" t="s">
        <v>873</v>
      </c>
      <c r="G205" s="44" t="s">
        <v>874</v>
      </c>
      <c r="H205" s="44"/>
      <c r="I205" s="44"/>
      <c r="J205" s="44"/>
      <c r="K205" s="44"/>
      <c r="L205" s="44"/>
      <c r="M205" s="276">
        <v>384.17</v>
      </c>
    </row>
    <row r="206" spans="1:13" outlineLevel="2" x14ac:dyDescent="0.25">
      <c r="A206" s="44" t="s">
        <v>305</v>
      </c>
      <c r="B206" s="274">
        <v>44475</v>
      </c>
      <c r="C206" s="44" t="s">
        <v>1032</v>
      </c>
      <c r="D206" s="275">
        <v>6548</v>
      </c>
      <c r="E206" s="44" t="s">
        <v>846</v>
      </c>
      <c r="F206" s="44" t="s">
        <v>863</v>
      </c>
      <c r="G206" s="44">
        <v>72328</v>
      </c>
      <c r="H206" s="44"/>
      <c r="I206" s="44"/>
      <c r="J206" s="44"/>
      <c r="K206" s="44"/>
      <c r="L206" s="44"/>
      <c r="M206" s="276">
        <v>361.62</v>
      </c>
    </row>
    <row r="207" spans="1:13" outlineLevel="2" x14ac:dyDescent="0.25">
      <c r="A207" s="44" t="s">
        <v>305</v>
      </c>
      <c r="B207" s="274">
        <v>44481</v>
      </c>
      <c r="C207" s="44" t="s">
        <v>1032</v>
      </c>
      <c r="D207" s="275">
        <v>6554</v>
      </c>
      <c r="E207" s="44" t="s">
        <v>846</v>
      </c>
      <c r="F207" s="44" t="s">
        <v>863</v>
      </c>
      <c r="G207" s="44">
        <v>72328</v>
      </c>
      <c r="H207" s="44"/>
      <c r="I207" s="44"/>
      <c r="J207" s="44"/>
      <c r="K207" s="44"/>
      <c r="L207" s="44"/>
      <c r="M207" s="276">
        <v>361.62</v>
      </c>
    </row>
    <row r="208" spans="1:13" outlineLevel="2" x14ac:dyDescent="0.25">
      <c r="A208" s="44" t="s">
        <v>305</v>
      </c>
      <c r="B208" s="274">
        <v>44481</v>
      </c>
      <c r="C208" s="44" t="s">
        <v>1032</v>
      </c>
      <c r="D208" s="275">
        <v>6554</v>
      </c>
      <c r="E208" s="44" t="s">
        <v>846</v>
      </c>
      <c r="F208" s="44" t="s">
        <v>879</v>
      </c>
      <c r="G208" s="44" t="s">
        <v>880</v>
      </c>
      <c r="H208" s="44"/>
      <c r="I208" s="44"/>
      <c r="J208" s="44"/>
      <c r="K208" s="44"/>
      <c r="L208" s="44"/>
      <c r="M208" s="276">
        <v>1460</v>
      </c>
    </row>
    <row r="209" spans="1:13" outlineLevel="1" x14ac:dyDescent="0.25">
      <c r="A209" s="286" t="s">
        <v>1050</v>
      </c>
      <c r="B209" s="738"/>
      <c r="C209" s="739"/>
      <c r="D209" s="739"/>
      <c r="E209" s="739"/>
      <c r="F209" s="739"/>
      <c r="G209" s="740"/>
      <c r="H209" s="287"/>
      <c r="I209" s="287"/>
      <c r="J209" s="287"/>
      <c r="K209" s="287"/>
      <c r="L209" s="287"/>
      <c r="M209" s="288">
        <f>SUBTOTAL(9,M202:M208)</f>
        <v>3883.44</v>
      </c>
    </row>
    <row r="210" spans="1:13" outlineLevel="2" x14ac:dyDescent="0.25">
      <c r="A210" s="44" t="s">
        <v>482</v>
      </c>
      <c r="B210" s="274">
        <v>44474</v>
      </c>
      <c r="C210" s="44" t="s">
        <v>1034</v>
      </c>
      <c r="D210" s="275">
        <v>200000058</v>
      </c>
      <c r="E210" s="44" t="s">
        <v>733</v>
      </c>
      <c r="F210" s="44" t="s">
        <v>751</v>
      </c>
      <c r="G210" s="44"/>
      <c r="H210" s="44"/>
      <c r="I210" s="44"/>
      <c r="J210" s="44"/>
      <c r="K210" s="44"/>
      <c r="L210" s="44"/>
      <c r="M210" s="276">
        <v>900</v>
      </c>
    </row>
    <row r="211" spans="1:13" outlineLevel="1" x14ac:dyDescent="0.25">
      <c r="A211" s="286" t="s">
        <v>1051</v>
      </c>
      <c r="B211" s="738"/>
      <c r="C211" s="739"/>
      <c r="D211" s="739"/>
      <c r="E211" s="739"/>
      <c r="F211" s="739"/>
      <c r="G211" s="740"/>
      <c r="H211" s="287"/>
      <c r="I211" s="287"/>
      <c r="J211" s="287"/>
      <c r="K211" s="287"/>
      <c r="L211" s="287"/>
      <c r="M211" s="288">
        <f>SUBTOTAL(9,M210:M210)</f>
        <v>900</v>
      </c>
    </row>
    <row r="212" spans="1:13" outlineLevel="2" x14ac:dyDescent="0.25">
      <c r="A212" s="44" t="s">
        <v>243</v>
      </c>
      <c r="B212" s="274">
        <v>44474</v>
      </c>
      <c r="C212" s="44" t="s">
        <v>1034</v>
      </c>
      <c r="D212" s="275">
        <v>200000058</v>
      </c>
      <c r="E212" s="44" t="s">
        <v>733</v>
      </c>
      <c r="F212" s="44" t="s">
        <v>752</v>
      </c>
      <c r="G212" s="44"/>
      <c r="H212" s="44"/>
      <c r="I212" s="44"/>
      <c r="J212" s="44"/>
      <c r="K212" s="44"/>
      <c r="L212" s="44"/>
      <c r="M212" s="276">
        <v>900</v>
      </c>
    </row>
    <row r="213" spans="1:13" outlineLevel="2" x14ac:dyDescent="0.25">
      <c r="A213" s="44" t="s">
        <v>243</v>
      </c>
      <c r="B213" s="274">
        <v>44474</v>
      </c>
      <c r="C213" s="44" t="s">
        <v>1034</v>
      </c>
      <c r="D213" s="275">
        <v>200000058</v>
      </c>
      <c r="E213" s="44" t="s">
        <v>733</v>
      </c>
      <c r="F213" s="44" t="s">
        <v>746</v>
      </c>
      <c r="G213" s="44"/>
      <c r="H213" s="44"/>
      <c r="I213" s="44"/>
      <c r="J213" s="44"/>
      <c r="K213" s="44"/>
      <c r="L213" s="44"/>
      <c r="M213" s="276">
        <v>1300</v>
      </c>
    </row>
    <row r="214" spans="1:13" ht="30" outlineLevel="2" x14ac:dyDescent="0.25">
      <c r="A214" s="44" t="s">
        <v>243</v>
      </c>
      <c r="B214" s="274">
        <v>44494</v>
      </c>
      <c r="C214" s="44" t="s">
        <v>1032</v>
      </c>
      <c r="D214" s="275">
        <v>6607</v>
      </c>
      <c r="E214" s="44" t="s">
        <v>846</v>
      </c>
      <c r="F214" s="44" t="s">
        <v>873</v>
      </c>
      <c r="G214" s="44" t="s">
        <v>874</v>
      </c>
      <c r="H214" s="44"/>
      <c r="I214" s="44"/>
      <c r="J214" s="44"/>
      <c r="K214" s="44"/>
      <c r="L214" s="44"/>
      <c r="M214" s="276">
        <v>384.17</v>
      </c>
    </row>
    <row r="215" spans="1:13" ht="30" outlineLevel="2" x14ac:dyDescent="0.25">
      <c r="A215" s="44" t="s">
        <v>243</v>
      </c>
      <c r="B215" s="274">
        <v>44498</v>
      </c>
      <c r="C215" s="44" t="s">
        <v>1032</v>
      </c>
      <c r="D215" s="275">
        <v>6647</v>
      </c>
      <c r="E215" s="44" t="s">
        <v>846</v>
      </c>
      <c r="F215" s="44" t="s">
        <v>861</v>
      </c>
      <c r="G215" s="44" t="s">
        <v>862</v>
      </c>
      <c r="H215" s="44"/>
      <c r="I215" s="44"/>
      <c r="J215" s="44"/>
      <c r="K215" s="44"/>
      <c r="L215" s="44"/>
      <c r="M215" s="276">
        <v>154.80000000000001</v>
      </c>
    </row>
    <row r="216" spans="1:13" outlineLevel="1" x14ac:dyDescent="0.25">
      <c r="A216" s="286" t="s">
        <v>1052</v>
      </c>
      <c r="B216" s="738"/>
      <c r="C216" s="739"/>
      <c r="D216" s="739"/>
      <c r="E216" s="739"/>
      <c r="F216" s="739"/>
      <c r="G216" s="740"/>
      <c r="H216" s="287"/>
      <c r="I216" s="287"/>
      <c r="J216" s="287"/>
      <c r="K216" s="287"/>
      <c r="L216" s="287"/>
      <c r="M216" s="288">
        <f>SUBTOTAL(9,M212:M215)</f>
        <v>2738.9700000000003</v>
      </c>
    </row>
    <row r="217" spans="1:13" outlineLevel="2" x14ac:dyDescent="0.25">
      <c r="A217" s="44" t="s">
        <v>270</v>
      </c>
      <c r="B217" s="274">
        <v>44474</v>
      </c>
      <c r="C217" s="44" t="s">
        <v>1034</v>
      </c>
      <c r="D217" s="275">
        <v>200000058</v>
      </c>
      <c r="E217" s="44" t="s">
        <v>733</v>
      </c>
      <c r="F217" s="44" t="s">
        <v>746</v>
      </c>
      <c r="G217" s="44"/>
      <c r="H217" s="44"/>
      <c r="I217" s="44"/>
      <c r="J217" s="44"/>
      <c r="K217" s="44"/>
      <c r="L217" s="44"/>
      <c r="M217" s="276">
        <v>1300</v>
      </c>
    </row>
    <row r="218" spans="1:13" outlineLevel="2" x14ac:dyDescent="0.25">
      <c r="A218" s="44" t="s">
        <v>270</v>
      </c>
      <c r="B218" s="274">
        <v>44496</v>
      </c>
      <c r="C218" s="44" t="s">
        <v>1034</v>
      </c>
      <c r="D218" s="275">
        <v>300000103</v>
      </c>
      <c r="E218" s="44" t="s">
        <v>728</v>
      </c>
      <c r="F218" s="44" t="s">
        <v>753</v>
      </c>
      <c r="G218" s="44"/>
      <c r="H218" s="44"/>
      <c r="I218" s="44"/>
      <c r="J218" s="44"/>
      <c r="K218" s="44"/>
      <c r="L218" s="44"/>
      <c r="M218" s="276">
        <v>18330.580000000002</v>
      </c>
    </row>
    <row r="219" spans="1:13" outlineLevel="2" x14ac:dyDescent="0.25">
      <c r="A219" s="44" t="s">
        <v>270</v>
      </c>
      <c r="B219" s="274">
        <v>44496</v>
      </c>
      <c r="C219" s="44" t="s">
        <v>1034</v>
      </c>
      <c r="D219" s="275">
        <v>300000103</v>
      </c>
      <c r="E219" s="44" t="s">
        <v>728</v>
      </c>
      <c r="F219" s="44" t="s">
        <v>754</v>
      </c>
      <c r="G219" s="44"/>
      <c r="H219" s="44"/>
      <c r="I219" s="44"/>
      <c r="J219" s="44"/>
      <c r="K219" s="44"/>
      <c r="L219" s="44"/>
      <c r="M219" s="276">
        <v>123.97</v>
      </c>
    </row>
    <row r="220" spans="1:13" outlineLevel="1" x14ac:dyDescent="0.25">
      <c r="A220" s="286" t="s">
        <v>1053</v>
      </c>
      <c r="B220" s="738"/>
      <c r="C220" s="739"/>
      <c r="D220" s="739"/>
      <c r="E220" s="739"/>
      <c r="F220" s="739"/>
      <c r="G220" s="740"/>
      <c r="H220" s="287"/>
      <c r="I220" s="287"/>
      <c r="J220" s="287"/>
      <c r="K220" s="287"/>
      <c r="L220" s="287"/>
      <c r="M220" s="288">
        <f>SUBTOTAL(9,M217:M219)</f>
        <v>19754.550000000003</v>
      </c>
    </row>
    <row r="221" spans="1:13" ht="30" outlineLevel="2" x14ac:dyDescent="0.25">
      <c r="A221" s="44" t="s">
        <v>189</v>
      </c>
      <c r="B221" s="274">
        <v>44476</v>
      </c>
      <c r="C221" s="44" t="s">
        <v>1034</v>
      </c>
      <c r="D221" s="275">
        <v>200000129</v>
      </c>
      <c r="E221" s="44" t="s">
        <v>736</v>
      </c>
      <c r="F221" s="44" t="s">
        <v>755</v>
      </c>
      <c r="G221" s="44"/>
      <c r="H221" s="44"/>
      <c r="I221" s="44"/>
      <c r="J221" s="44"/>
      <c r="K221" s="44"/>
      <c r="L221" s="44"/>
      <c r="M221" s="276">
        <v>17800</v>
      </c>
    </row>
    <row r="222" spans="1:13" ht="30" outlineLevel="2" x14ac:dyDescent="0.25">
      <c r="A222" s="44" t="s">
        <v>189</v>
      </c>
      <c r="B222" s="274">
        <v>44490</v>
      </c>
      <c r="C222" s="44" t="s">
        <v>1036</v>
      </c>
      <c r="D222" s="275">
        <v>100004966</v>
      </c>
      <c r="E222" s="44" t="s">
        <v>944</v>
      </c>
      <c r="F222" s="44" t="s">
        <v>934</v>
      </c>
      <c r="G222" s="44" t="s">
        <v>918</v>
      </c>
      <c r="H222" s="44">
        <v>1053.2760000000001</v>
      </c>
      <c r="I222" s="44">
        <v>0</v>
      </c>
      <c r="J222" s="44">
        <v>0</v>
      </c>
      <c r="K222" s="44">
        <v>1</v>
      </c>
      <c r="L222" s="277">
        <v>6068.88</v>
      </c>
      <c r="M222" s="269">
        <f>L222-(H222+I222+J222)*K222</f>
        <v>5015.6040000000003</v>
      </c>
    </row>
    <row r="223" spans="1:13" outlineLevel="2" x14ac:dyDescent="0.25">
      <c r="A223" s="44" t="s">
        <v>189</v>
      </c>
      <c r="B223" s="274">
        <v>44490</v>
      </c>
      <c r="C223" s="44" t="s">
        <v>1036</v>
      </c>
      <c r="D223" s="275">
        <v>100004966</v>
      </c>
      <c r="E223" s="44" t="s">
        <v>945</v>
      </c>
      <c r="F223" s="44" t="s">
        <v>917</v>
      </c>
      <c r="G223" s="44" t="s">
        <v>918</v>
      </c>
      <c r="H223" s="44">
        <v>0</v>
      </c>
      <c r="I223" s="44">
        <v>0</v>
      </c>
      <c r="J223" s="44">
        <v>0</v>
      </c>
      <c r="K223" s="44">
        <v>1</v>
      </c>
      <c r="L223" s="277">
        <v>1600</v>
      </c>
      <c r="M223" s="269">
        <f>L223-(H223+I223+J223)*K223</f>
        <v>1600</v>
      </c>
    </row>
    <row r="224" spans="1:13" outlineLevel="1" x14ac:dyDescent="0.25">
      <c r="A224" s="286" t="s">
        <v>1054</v>
      </c>
      <c r="B224" s="738"/>
      <c r="C224" s="739"/>
      <c r="D224" s="739"/>
      <c r="E224" s="739"/>
      <c r="F224" s="739"/>
      <c r="G224" s="740"/>
      <c r="H224" s="287"/>
      <c r="I224" s="287"/>
      <c r="J224" s="287"/>
      <c r="K224" s="287"/>
      <c r="L224" s="289"/>
      <c r="M224" s="288">
        <f>SUBTOTAL(9,M221:M223)</f>
        <v>24415.603999999999</v>
      </c>
    </row>
    <row r="225" spans="1:13" outlineLevel="2" x14ac:dyDescent="0.25">
      <c r="A225" s="44" t="s">
        <v>80</v>
      </c>
      <c r="B225" s="274">
        <v>44483</v>
      </c>
      <c r="C225" s="44" t="s">
        <v>1032</v>
      </c>
      <c r="D225" s="275">
        <v>6576</v>
      </c>
      <c r="E225" s="44" t="s">
        <v>846</v>
      </c>
      <c r="F225" s="44" t="s">
        <v>863</v>
      </c>
      <c r="G225" s="44">
        <v>72328</v>
      </c>
      <c r="H225" s="44"/>
      <c r="I225" s="44"/>
      <c r="J225" s="44"/>
      <c r="K225" s="44"/>
      <c r="L225" s="44"/>
      <c r="M225" s="276">
        <v>361.62</v>
      </c>
    </row>
    <row r="226" spans="1:13" ht="30" outlineLevel="2" x14ac:dyDescent="0.25">
      <c r="A226" s="44" t="s">
        <v>80</v>
      </c>
      <c r="B226" s="274">
        <v>44489</v>
      </c>
      <c r="C226" s="44" t="s">
        <v>1032</v>
      </c>
      <c r="D226" s="275">
        <v>6596</v>
      </c>
      <c r="E226" s="44" t="s">
        <v>846</v>
      </c>
      <c r="F226" s="44" t="s">
        <v>881</v>
      </c>
      <c r="G226" s="44" t="s">
        <v>882</v>
      </c>
      <c r="H226" s="44"/>
      <c r="I226" s="44"/>
      <c r="J226" s="44"/>
      <c r="K226" s="44"/>
      <c r="L226" s="44"/>
      <c r="M226" s="276">
        <v>837.33</v>
      </c>
    </row>
    <row r="227" spans="1:13" outlineLevel="1" x14ac:dyDescent="0.25">
      <c r="A227" s="286" t="s">
        <v>1055</v>
      </c>
      <c r="B227" s="738"/>
      <c r="C227" s="739"/>
      <c r="D227" s="739"/>
      <c r="E227" s="739"/>
      <c r="F227" s="739"/>
      <c r="G227" s="740"/>
      <c r="H227" s="287"/>
      <c r="I227" s="287"/>
      <c r="J227" s="287"/>
      <c r="K227" s="287"/>
      <c r="L227" s="287"/>
      <c r="M227" s="288">
        <f>SUBTOTAL(9,M225:M226)</f>
        <v>1198.95</v>
      </c>
    </row>
    <row r="228" spans="1:13" outlineLevel="2" x14ac:dyDescent="0.25">
      <c r="A228" s="44" t="s">
        <v>286</v>
      </c>
      <c r="B228" s="274">
        <v>44474</v>
      </c>
      <c r="C228" s="44" t="s">
        <v>1034</v>
      </c>
      <c r="D228" s="275">
        <v>200000058</v>
      </c>
      <c r="E228" s="44" t="s">
        <v>733</v>
      </c>
      <c r="F228" s="44" t="s">
        <v>746</v>
      </c>
      <c r="G228" s="44"/>
      <c r="H228" s="44"/>
      <c r="I228" s="44"/>
      <c r="J228" s="44"/>
      <c r="K228" s="44"/>
      <c r="L228" s="44"/>
      <c r="M228" s="276">
        <v>1800</v>
      </c>
    </row>
    <row r="229" spans="1:13" outlineLevel="2" x14ac:dyDescent="0.25">
      <c r="A229" s="44" t="s">
        <v>286</v>
      </c>
      <c r="B229" s="274">
        <v>44474</v>
      </c>
      <c r="C229" s="44" t="s">
        <v>1034</v>
      </c>
      <c r="D229" s="275">
        <v>200000058</v>
      </c>
      <c r="E229" s="44" t="s">
        <v>733</v>
      </c>
      <c r="F229" s="44" t="s">
        <v>756</v>
      </c>
      <c r="G229" s="44"/>
      <c r="H229" s="44"/>
      <c r="I229" s="44"/>
      <c r="J229" s="44"/>
      <c r="K229" s="44"/>
      <c r="L229" s="44"/>
      <c r="M229" s="276">
        <v>1300</v>
      </c>
    </row>
    <row r="230" spans="1:13" outlineLevel="2" x14ac:dyDescent="0.25">
      <c r="A230" s="44" t="s">
        <v>286</v>
      </c>
      <c r="B230" s="274">
        <v>44474</v>
      </c>
      <c r="C230" s="44" t="s">
        <v>1034</v>
      </c>
      <c r="D230" s="275">
        <v>200000058</v>
      </c>
      <c r="E230" s="44" t="s">
        <v>733</v>
      </c>
      <c r="F230" s="44" t="s">
        <v>757</v>
      </c>
      <c r="G230" s="44"/>
      <c r="H230" s="44"/>
      <c r="I230" s="44"/>
      <c r="J230" s="44"/>
      <c r="K230" s="44"/>
      <c r="L230" s="44"/>
      <c r="M230" s="276">
        <v>2300</v>
      </c>
    </row>
    <row r="231" spans="1:13" outlineLevel="2" x14ac:dyDescent="0.25">
      <c r="A231" s="44" t="s">
        <v>286</v>
      </c>
      <c r="B231" s="274">
        <v>44495</v>
      </c>
      <c r="C231" s="44" t="s">
        <v>1034</v>
      </c>
      <c r="D231" s="275">
        <v>200003069</v>
      </c>
      <c r="E231" s="44" t="s">
        <v>758</v>
      </c>
      <c r="F231" s="44" t="s">
        <v>759</v>
      </c>
      <c r="G231" s="44"/>
      <c r="H231" s="44"/>
      <c r="I231" s="44"/>
      <c r="J231" s="44"/>
      <c r="K231" s="44"/>
      <c r="L231" s="44"/>
      <c r="M231" s="276">
        <v>3190</v>
      </c>
    </row>
    <row r="232" spans="1:13" outlineLevel="2" x14ac:dyDescent="0.25">
      <c r="A232" s="44" t="s">
        <v>286</v>
      </c>
      <c r="B232" s="274">
        <v>44495</v>
      </c>
      <c r="C232" s="44" t="s">
        <v>1034</v>
      </c>
      <c r="D232" s="275">
        <v>200003069</v>
      </c>
      <c r="E232" s="44" t="s">
        <v>758</v>
      </c>
      <c r="F232" s="44" t="s">
        <v>760</v>
      </c>
      <c r="G232" s="44"/>
      <c r="H232" s="44"/>
      <c r="I232" s="44"/>
      <c r="J232" s="44"/>
      <c r="K232" s="44"/>
      <c r="L232" s="44"/>
      <c r="M232" s="276">
        <v>10000</v>
      </c>
    </row>
    <row r="233" spans="1:13" outlineLevel="2" x14ac:dyDescent="0.25">
      <c r="A233" s="44" t="s">
        <v>286</v>
      </c>
      <c r="B233" s="274">
        <v>44495</v>
      </c>
      <c r="C233" s="44" t="s">
        <v>1034</v>
      </c>
      <c r="D233" s="275">
        <v>200003069</v>
      </c>
      <c r="E233" s="44" t="s">
        <v>758</v>
      </c>
      <c r="F233" s="44" t="s">
        <v>761</v>
      </c>
      <c r="G233" s="44"/>
      <c r="H233" s="44"/>
      <c r="I233" s="44"/>
      <c r="J233" s="44"/>
      <c r="K233" s="44"/>
      <c r="L233" s="44"/>
      <c r="M233" s="276">
        <v>7600</v>
      </c>
    </row>
    <row r="234" spans="1:13" outlineLevel="2" x14ac:dyDescent="0.25">
      <c r="A234" s="44" t="s">
        <v>286</v>
      </c>
      <c r="B234" s="274">
        <v>44495</v>
      </c>
      <c r="C234" s="44" t="s">
        <v>1034</v>
      </c>
      <c r="D234" s="275">
        <v>200003069</v>
      </c>
      <c r="E234" s="44" t="s">
        <v>758</v>
      </c>
      <c r="F234" s="44" t="s">
        <v>762</v>
      </c>
      <c r="G234" s="44"/>
      <c r="H234" s="44"/>
      <c r="I234" s="44"/>
      <c r="J234" s="44"/>
      <c r="K234" s="44"/>
      <c r="L234" s="44"/>
      <c r="M234" s="276">
        <v>8000</v>
      </c>
    </row>
    <row r="235" spans="1:13" outlineLevel="2" x14ac:dyDescent="0.25">
      <c r="A235" s="44" t="s">
        <v>286</v>
      </c>
      <c r="B235" s="274">
        <v>44495</v>
      </c>
      <c r="C235" s="44" t="s">
        <v>1034</v>
      </c>
      <c r="D235" s="275">
        <v>200003069</v>
      </c>
      <c r="E235" s="44" t="s">
        <v>758</v>
      </c>
      <c r="F235" s="44" t="s">
        <v>763</v>
      </c>
      <c r="G235" s="44"/>
      <c r="H235" s="44"/>
      <c r="I235" s="44"/>
      <c r="J235" s="44"/>
      <c r="K235" s="44"/>
      <c r="L235" s="44"/>
      <c r="M235" s="276">
        <v>7000</v>
      </c>
    </row>
    <row r="236" spans="1:13" outlineLevel="2" x14ac:dyDescent="0.25">
      <c r="A236" s="44" t="s">
        <v>286</v>
      </c>
      <c r="B236" s="274">
        <v>44471</v>
      </c>
      <c r="C236" s="44" t="s">
        <v>1032</v>
      </c>
      <c r="D236" s="275">
        <v>6532</v>
      </c>
      <c r="E236" s="44" t="s">
        <v>846</v>
      </c>
      <c r="F236" s="44" t="s">
        <v>863</v>
      </c>
      <c r="G236" s="44">
        <v>72328</v>
      </c>
      <c r="H236" s="44"/>
      <c r="I236" s="44"/>
      <c r="J236" s="44"/>
      <c r="K236" s="44"/>
      <c r="L236" s="44"/>
      <c r="M236" s="276">
        <v>361.62</v>
      </c>
    </row>
    <row r="237" spans="1:13" outlineLevel="2" x14ac:dyDescent="0.25">
      <c r="A237" s="44" t="s">
        <v>286</v>
      </c>
      <c r="B237" s="274">
        <v>44484</v>
      </c>
      <c r="C237" s="44" t="s">
        <v>1032</v>
      </c>
      <c r="D237" s="275">
        <v>6579</v>
      </c>
      <c r="E237" s="44" t="s">
        <v>846</v>
      </c>
      <c r="F237" s="44" t="s">
        <v>875</v>
      </c>
      <c r="G237" s="44" t="s">
        <v>876</v>
      </c>
      <c r="H237" s="44"/>
      <c r="I237" s="44"/>
      <c r="J237" s="44"/>
      <c r="K237" s="44"/>
      <c r="L237" s="44"/>
      <c r="M237" s="276">
        <v>141.6</v>
      </c>
    </row>
    <row r="238" spans="1:13" ht="30" outlineLevel="2" x14ac:dyDescent="0.25">
      <c r="A238" s="44" t="s">
        <v>286</v>
      </c>
      <c r="B238" s="274">
        <v>44473</v>
      </c>
      <c r="C238" s="44" t="s">
        <v>1036</v>
      </c>
      <c r="D238" s="275">
        <v>100004936</v>
      </c>
      <c r="E238" s="44" t="s">
        <v>946</v>
      </c>
      <c r="F238" s="44" t="s">
        <v>947</v>
      </c>
      <c r="G238" s="44" t="s">
        <v>948</v>
      </c>
      <c r="H238" s="44">
        <v>0</v>
      </c>
      <c r="I238" s="44">
        <v>0</v>
      </c>
      <c r="J238" s="44">
        <v>0</v>
      </c>
      <c r="K238" s="44">
        <v>1</v>
      </c>
      <c r="L238" s="44">
        <v>100</v>
      </c>
      <c r="M238" s="269">
        <f>L238-(H238+I238+J238)*K238</f>
        <v>100</v>
      </c>
    </row>
    <row r="239" spans="1:13" outlineLevel="1" x14ac:dyDescent="0.25">
      <c r="A239" s="286" t="s">
        <v>1056</v>
      </c>
      <c r="B239" s="738"/>
      <c r="C239" s="739"/>
      <c r="D239" s="739"/>
      <c r="E239" s="739"/>
      <c r="F239" s="739"/>
      <c r="G239" s="740"/>
      <c r="H239" s="287"/>
      <c r="I239" s="287"/>
      <c r="J239" s="287"/>
      <c r="K239" s="287"/>
      <c r="L239" s="287"/>
      <c r="M239" s="288">
        <f>SUBTOTAL(9,M228:M238)</f>
        <v>41793.22</v>
      </c>
    </row>
    <row r="240" spans="1:13" outlineLevel="2" x14ac:dyDescent="0.25">
      <c r="A240" s="44" t="s">
        <v>179</v>
      </c>
      <c r="B240" s="274">
        <v>44474</v>
      </c>
      <c r="C240" s="44" t="s">
        <v>1034</v>
      </c>
      <c r="D240" s="275">
        <v>200000058</v>
      </c>
      <c r="E240" s="44" t="s">
        <v>733</v>
      </c>
      <c r="F240" s="44" t="s">
        <v>746</v>
      </c>
      <c r="G240" s="44"/>
      <c r="H240" s="44"/>
      <c r="I240" s="44"/>
      <c r="J240" s="44"/>
      <c r="K240" s="44"/>
      <c r="L240" s="44"/>
      <c r="M240" s="276">
        <v>1300</v>
      </c>
    </row>
    <row r="241" spans="1:13" ht="30" outlineLevel="2" x14ac:dyDescent="0.25">
      <c r="A241" s="44" t="s">
        <v>179</v>
      </c>
      <c r="B241" s="274">
        <v>44476</v>
      </c>
      <c r="C241" s="44" t="s">
        <v>1032</v>
      </c>
      <c r="D241" s="275">
        <v>6552</v>
      </c>
      <c r="E241" s="44" t="s">
        <v>846</v>
      </c>
      <c r="F241" s="44" t="s">
        <v>873</v>
      </c>
      <c r="G241" s="44" t="s">
        <v>874</v>
      </c>
      <c r="H241" s="44"/>
      <c r="I241" s="44"/>
      <c r="J241" s="44"/>
      <c r="K241" s="44"/>
      <c r="L241" s="44"/>
      <c r="M241" s="276">
        <v>384.17</v>
      </c>
    </row>
    <row r="242" spans="1:13" ht="30" outlineLevel="2" x14ac:dyDescent="0.25">
      <c r="A242" s="44" t="s">
        <v>179</v>
      </c>
      <c r="B242" s="274">
        <v>44498</v>
      </c>
      <c r="C242" s="44" t="s">
        <v>1032</v>
      </c>
      <c r="D242" s="275">
        <v>6646</v>
      </c>
      <c r="E242" s="44" t="s">
        <v>846</v>
      </c>
      <c r="F242" s="44" t="s">
        <v>873</v>
      </c>
      <c r="G242" s="44" t="s">
        <v>874</v>
      </c>
      <c r="H242" s="44"/>
      <c r="I242" s="44"/>
      <c r="J242" s="44"/>
      <c r="K242" s="44"/>
      <c r="L242" s="44"/>
      <c r="M242" s="276">
        <v>384.17</v>
      </c>
    </row>
    <row r="243" spans="1:13" outlineLevel="1" x14ac:dyDescent="0.25">
      <c r="A243" s="286" t="s">
        <v>1057</v>
      </c>
      <c r="B243" s="738"/>
      <c r="C243" s="739"/>
      <c r="D243" s="739"/>
      <c r="E243" s="739"/>
      <c r="F243" s="739"/>
      <c r="G243" s="740"/>
      <c r="H243" s="287"/>
      <c r="I243" s="287"/>
      <c r="J243" s="287"/>
      <c r="K243" s="287"/>
      <c r="L243" s="287"/>
      <c r="M243" s="288">
        <f>SUBTOTAL(9,M240:M242)</f>
        <v>2068.34</v>
      </c>
    </row>
    <row r="244" spans="1:13" outlineLevel="2" x14ac:dyDescent="0.25">
      <c r="A244" s="44" t="s">
        <v>309</v>
      </c>
      <c r="B244" s="274">
        <v>44496</v>
      </c>
      <c r="C244" s="44" t="s">
        <v>1034</v>
      </c>
      <c r="D244" s="275">
        <v>300000103</v>
      </c>
      <c r="E244" s="44" t="s">
        <v>728</v>
      </c>
      <c r="F244" s="44" t="s">
        <v>764</v>
      </c>
      <c r="G244" s="44"/>
      <c r="H244" s="44"/>
      <c r="I244" s="44"/>
      <c r="J244" s="44"/>
      <c r="K244" s="44"/>
      <c r="L244" s="44"/>
      <c r="M244" s="276">
        <v>214.88</v>
      </c>
    </row>
    <row r="245" spans="1:13" outlineLevel="2" x14ac:dyDescent="0.25">
      <c r="A245" s="44" t="s">
        <v>309</v>
      </c>
      <c r="B245" s="274">
        <v>44496</v>
      </c>
      <c r="C245" s="44" t="s">
        <v>1034</v>
      </c>
      <c r="D245" s="275">
        <v>300000103</v>
      </c>
      <c r="E245" s="44" t="s">
        <v>728</v>
      </c>
      <c r="F245" s="44" t="s">
        <v>765</v>
      </c>
      <c r="G245" s="44"/>
      <c r="H245" s="44"/>
      <c r="I245" s="44"/>
      <c r="J245" s="44"/>
      <c r="K245" s="44"/>
      <c r="L245" s="44"/>
      <c r="M245" s="276">
        <v>4304.96</v>
      </c>
    </row>
    <row r="246" spans="1:13" outlineLevel="2" x14ac:dyDescent="0.25">
      <c r="A246" s="44" t="s">
        <v>309</v>
      </c>
      <c r="B246" s="274">
        <v>44496</v>
      </c>
      <c r="C246" s="44" t="s">
        <v>1034</v>
      </c>
      <c r="D246" s="275">
        <v>300000103</v>
      </c>
      <c r="E246" s="44" t="s">
        <v>728</v>
      </c>
      <c r="F246" s="44" t="s">
        <v>766</v>
      </c>
      <c r="G246" s="44"/>
      <c r="H246" s="44"/>
      <c r="I246" s="44"/>
      <c r="J246" s="44"/>
      <c r="K246" s="44"/>
      <c r="L246" s="44"/>
      <c r="M246" s="276">
        <v>9090.91</v>
      </c>
    </row>
    <row r="247" spans="1:13" outlineLevel="2" x14ac:dyDescent="0.25">
      <c r="A247" s="44" t="s">
        <v>309</v>
      </c>
      <c r="B247" s="274">
        <v>44473</v>
      </c>
      <c r="C247" s="44" t="s">
        <v>1032</v>
      </c>
      <c r="D247" s="275" t="s">
        <v>883</v>
      </c>
      <c r="E247" s="44" t="s">
        <v>846</v>
      </c>
      <c r="F247" s="44" t="s">
        <v>863</v>
      </c>
      <c r="G247" s="44">
        <v>72328</v>
      </c>
      <c r="H247" s="44"/>
      <c r="I247" s="44"/>
      <c r="J247" s="44"/>
      <c r="K247" s="44"/>
      <c r="L247" s="44"/>
      <c r="M247" s="276">
        <v>361.62</v>
      </c>
    </row>
    <row r="248" spans="1:13" ht="30" outlineLevel="2" x14ac:dyDescent="0.25">
      <c r="A248" s="44" t="s">
        <v>309</v>
      </c>
      <c r="B248" s="274">
        <v>44473</v>
      </c>
      <c r="C248" s="44" t="s">
        <v>1036</v>
      </c>
      <c r="D248" s="275">
        <v>100004936</v>
      </c>
      <c r="E248" s="44" t="s">
        <v>946</v>
      </c>
      <c r="F248" s="44" t="s">
        <v>947</v>
      </c>
      <c r="G248" s="44" t="s">
        <v>948</v>
      </c>
      <c r="H248" s="44">
        <v>0</v>
      </c>
      <c r="I248" s="44">
        <v>0</v>
      </c>
      <c r="J248" s="44">
        <v>0</v>
      </c>
      <c r="K248" s="44">
        <v>1</v>
      </c>
      <c r="L248" s="44">
        <v>100</v>
      </c>
      <c r="M248" s="269">
        <f>L248-(H248+I248+J248)*K248</f>
        <v>100</v>
      </c>
    </row>
    <row r="249" spans="1:13" outlineLevel="1" x14ac:dyDescent="0.25">
      <c r="A249" s="286" t="s">
        <v>1058</v>
      </c>
      <c r="B249" s="738"/>
      <c r="C249" s="739"/>
      <c r="D249" s="739"/>
      <c r="E249" s="739"/>
      <c r="F249" s="739"/>
      <c r="G249" s="740"/>
      <c r="H249" s="287"/>
      <c r="I249" s="287"/>
      <c r="J249" s="287"/>
      <c r="K249" s="287"/>
      <c r="L249" s="287"/>
      <c r="M249" s="288">
        <f>SUBTOTAL(9,M244:M248)</f>
        <v>14072.37</v>
      </c>
    </row>
    <row r="250" spans="1:13" ht="30" outlineLevel="2" x14ac:dyDescent="0.25">
      <c r="A250" s="44" t="s">
        <v>73</v>
      </c>
      <c r="B250" s="274">
        <v>44495</v>
      </c>
      <c r="C250" s="44" t="s">
        <v>1034</v>
      </c>
      <c r="D250" s="275">
        <v>100000119</v>
      </c>
      <c r="E250" s="44" t="s">
        <v>767</v>
      </c>
      <c r="F250" s="44" t="s">
        <v>768</v>
      </c>
      <c r="G250" s="44"/>
      <c r="H250" s="44"/>
      <c r="I250" s="44"/>
      <c r="J250" s="44"/>
      <c r="K250" s="44"/>
      <c r="L250" s="44"/>
      <c r="M250" s="276">
        <v>34500</v>
      </c>
    </row>
    <row r="251" spans="1:13" outlineLevel="2" x14ac:dyDescent="0.25">
      <c r="A251" s="44" t="s">
        <v>73</v>
      </c>
      <c r="B251" s="274">
        <v>44496</v>
      </c>
      <c r="C251" s="44" t="s">
        <v>1034</v>
      </c>
      <c r="D251" s="275">
        <v>300000103</v>
      </c>
      <c r="E251" s="44" t="s">
        <v>728</v>
      </c>
      <c r="F251" s="44" t="s">
        <v>769</v>
      </c>
      <c r="G251" s="44"/>
      <c r="H251" s="44"/>
      <c r="I251" s="44"/>
      <c r="J251" s="44"/>
      <c r="K251" s="44"/>
      <c r="L251" s="44"/>
      <c r="M251" s="276">
        <v>1660.33</v>
      </c>
    </row>
    <row r="252" spans="1:13" outlineLevel="2" x14ac:dyDescent="0.25">
      <c r="A252" s="44" t="s">
        <v>73</v>
      </c>
      <c r="B252" s="274">
        <v>44496</v>
      </c>
      <c r="C252" s="44" t="s">
        <v>1034</v>
      </c>
      <c r="D252" s="275">
        <v>300000103</v>
      </c>
      <c r="E252" s="44" t="s">
        <v>728</v>
      </c>
      <c r="F252" s="44" t="s">
        <v>770</v>
      </c>
      <c r="G252" s="44"/>
      <c r="H252" s="44"/>
      <c r="I252" s="44"/>
      <c r="J252" s="44"/>
      <c r="K252" s="44"/>
      <c r="L252" s="44"/>
      <c r="M252" s="276">
        <v>236.36</v>
      </c>
    </row>
    <row r="253" spans="1:13" outlineLevel="2" x14ac:dyDescent="0.25">
      <c r="A253" s="44" t="s">
        <v>73</v>
      </c>
      <c r="B253" s="274">
        <v>44496</v>
      </c>
      <c r="C253" s="44" t="s">
        <v>1034</v>
      </c>
      <c r="D253" s="275">
        <v>300000103</v>
      </c>
      <c r="E253" s="44" t="s">
        <v>728</v>
      </c>
      <c r="F253" s="44" t="s">
        <v>771</v>
      </c>
      <c r="G253" s="44"/>
      <c r="H253" s="44"/>
      <c r="I253" s="44"/>
      <c r="J253" s="44"/>
      <c r="K253" s="44"/>
      <c r="L253" s="44"/>
      <c r="M253" s="276">
        <v>3726.45</v>
      </c>
    </row>
    <row r="254" spans="1:13" outlineLevel="2" x14ac:dyDescent="0.25">
      <c r="A254" s="44" t="s">
        <v>73</v>
      </c>
      <c r="B254" s="274">
        <v>44487</v>
      </c>
      <c r="C254" s="44" t="s">
        <v>1035</v>
      </c>
      <c r="D254" s="275">
        <v>100001716</v>
      </c>
      <c r="E254" s="44" t="s">
        <v>836</v>
      </c>
      <c r="F254" s="44" t="s">
        <v>837</v>
      </c>
      <c r="G254" s="44"/>
      <c r="H254" s="44"/>
      <c r="I254" s="44"/>
      <c r="J254" s="44"/>
      <c r="K254" s="44"/>
      <c r="L254" s="44"/>
      <c r="M254" s="276">
        <v>-645.11</v>
      </c>
    </row>
    <row r="255" spans="1:13" outlineLevel="2" x14ac:dyDescent="0.25">
      <c r="A255" s="44" t="s">
        <v>73</v>
      </c>
      <c r="B255" s="274">
        <v>44474</v>
      </c>
      <c r="C255" s="44" t="s">
        <v>1032</v>
      </c>
      <c r="D255" s="275">
        <v>6544</v>
      </c>
      <c r="E255" s="44" t="s">
        <v>846</v>
      </c>
      <c r="F255" s="44" t="s">
        <v>884</v>
      </c>
      <c r="G255" s="44" t="s">
        <v>885</v>
      </c>
      <c r="H255" s="44"/>
      <c r="I255" s="44"/>
      <c r="J255" s="44"/>
      <c r="K255" s="44"/>
      <c r="L255" s="44"/>
      <c r="M255" s="276">
        <v>138.38</v>
      </c>
    </row>
    <row r="256" spans="1:13" ht="30" outlineLevel="2" x14ac:dyDescent="0.25">
      <c r="A256" s="44" t="s">
        <v>73</v>
      </c>
      <c r="B256" s="274">
        <v>44474</v>
      </c>
      <c r="C256" s="44" t="s">
        <v>1032</v>
      </c>
      <c r="D256" s="275">
        <v>6544</v>
      </c>
      <c r="E256" s="44" t="s">
        <v>846</v>
      </c>
      <c r="F256" s="44" t="s">
        <v>886</v>
      </c>
      <c r="G256" s="44" t="s">
        <v>887</v>
      </c>
      <c r="H256" s="44"/>
      <c r="I256" s="44"/>
      <c r="J256" s="44"/>
      <c r="K256" s="44"/>
      <c r="L256" s="44"/>
      <c r="M256" s="276">
        <v>3740.22</v>
      </c>
    </row>
    <row r="257" spans="1:13" ht="30" outlineLevel="2" x14ac:dyDescent="0.25">
      <c r="A257" s="44" t="s">
        <v>73</v>
      </c>
      <c r="B257" s="274">
        <v>44484</v>
      </c>
      <c r="C257" s="44" t="s">
        <v>1032</v>
      </c>
      <c r="D257" s="275">
        <v>6585</v>
      </c>
      <c r="E257" s="44" t="s">
        <v>846</v>
      </c>
      <c r="F257" s="44" t="s">
        <v>869</v>
      </c>
      <c r="G257" s="44" t="s">
        <v>870</v>
      </c>
      <c r="H257" s="44"/>
      <c r="I257" s="44"/>
      <c r="J257" s="44"/>
      <c r="K257" s="44"/>
      <c r="L257" s="44"/>
      <c r="M257" s="276">
        <v>1468.83</v>
      </c>
    </row>
    <row r="258" spans="1:13" ht="30" outlineLevel="2" x14ac:dyDescent="0.25">
      <c r="A258" s="44" t="s">
        <v>73</v>
      </c>
      <c r="B258" s="274">
        <v>44484</v>
      </c>
      <c r="C258" s="44" t="s">
        <v>1032</v>
      </c>
      <c r="D258" s="275">
        <v>6585</v>
      </c>
      <c r="E258" s="44" t="s">
        <v>846</v>
      </c>
      <c r="F258" s="44" t="s">
        <v>888</v>
      </c>
      <c r="G258" s="44" t="s">
        <v>889</v>
      </c>
      <c r="H258" s="44"/>
      <c r="I258" s="44"/>
      <c r="J258" s="44"/>
      <c r="K258" s="44"/>
      <c r="L258" s="44"/>
      <c r="M258" s="276">
        <v>1785.55</v>
      </c>
    </row>
    <row r="259" spans="1:13" ht="30" outlineLevel="2" x14ac:dyDescent="0.25">
      <c r="A259" s="44" t="s">
        <v>73</v>
      </c>
      <c r="B259" s="274">
        <v>44484</v>
      </c>
      <c r="C259" s="44" t="s">
        <v>1032</v>
      </c>
      <c r="D259" s="275">
        <v>6585</v>
      </c>
      <c r="E259" s="44" t="s">
        <v>846</v>
      </c>
      <c r="F259" s="44" t="s">
        <v>873</v>
      </c>
      <c r="G259" s="44" t="s">
        <v>874</v>
      </c>
      <c r="H259" s="44"/>
      <c r="I259" s="44"/>
      <c r="J259" s="44"/>
      <c r="K259" s="44"/>
      <c r="L259" s="44"/>
      <c r="M259" s="276">
        <v>384.17</v>
      </c>
    </row>
    <row r="260" spans="1:13" outlineLevel="2" x14ac:dyDescent="0.25">
      <c r="A260" s="44" t="s">
        <v>73</v>
      </c>
      <c r="B260" s="274">
        <v>44484</v>
      </c>
      <c r="C260" s="44" t="s">
        <v>1032</v>
      </c>
      <c r="D260" s="275">
        <v>6585</v>
      </c>
      <c r="E260" s="44" t="s">
        <v>846</v>
      </c>
      <c r="F260" s="44" t="s">
        <v>863</v>
      </c>
      <c r="G260" s="44">
        <v>72328</v>
      </c>
      <c r="H260" s="44"/>
      <c r="I260" s="44"/>
      <c r="J260" s="44"/>
      <c r="K260" s="44"/>
      <c r="L260" s="44"/>
      <c r="M260" s="276">
        <v>361.62</v>
      </c>
    </row>
    <row r="261" spans="1:13" ht="30" outlineLevel="2" x14ac:dyDescent="0.25">
      <c r="A261" s="44" t="s">
        <v>73</v>
      </c>
      <c r="B261" s="274">
        <v>44473</v>
      </c>
      <c r="C261" s="44" t="s">
        <v>1036</v>
      </c>
      <c r="D261" s="275">
        <v>100004936</v>
      </c>
      <c r="E261" s="44" t="s">
        <v>946</v>
      </c>
      <c r="F261" s="44" t="s">
        <v>947</v>
      </c>
      <c r="G261" s="44" t="s">
        <v>948</v>
      </c>
      <c r="H261" s="44">
        <v>0</v>
      </c>
      <c r="I261" s="44">
        <v>0</v>
      </c>
      <c r="J261" s="44">
        <v>0</v>
      </c>
      <c r="K261" s="44">
        <v>1</v>
      </c>
      <c r="L261" s="44">
        <v>100</v>
      </c>
      <c r="M261" s="269">
        <f>L261-(H261+I261+J261)*K261</f>
        <v>100</v>
      </c>
    </row>
    <row r="262" spans="1:13" outlineLevel="1" x14ac:dyDescent="0.25">
      <c r="A262" s="286" t="s">
        <v>1059</v>
      </c>
      <c r="B262" s="738"/>
      <c r="C262" s="739"/>
      <c r="D262" s="739"/>
      <c r="E262" s="739"/>
      <c r="F262" s="739"/>
      <c r="G262" s="740"/>
      <c r="H262" s="287"/>
      <c r="I262" s="287"/>
      <c r="J262" s="287"/>
      <c r="K262" s="287"/>
      <c r="L262" s="287"/>
      <c r="M262" s="288">
        <f>SUBTOTAL(9,M250:M261)</f>
        <v>47456.800000000003</v>
      </c>
    </row>
    <row r="263" spans="1:13" outlineLevel="2" x14ac:dyDescent="0.25">
      <c r="A263" s="44" t="s">
        <v>249</v>
      </c>
      <c r="B263" s="274">
        <v>44495</v>
      </c>
      <c r="C263" s="44" t="s">
        <v>1034</v>
      </c>
      <c r="D263" s="275">
        <v>200003069</v>
      </c>
      <c r="E263" s="44" t="s">
        <v>758</v>
      </c>
      <c r="F263" s="44" t="s">
        <v>772</v>
      </c>
      <c r="G263" s="44"/>
      <c r="H263" s="44"/>
      <c r="I263" s="44"/>
      <c r="J263" s="44"/>
      <c r="K263" s="44"/>
      <c r="L263" s="44"/>
      <c r="M263" s="276">
        <v>18630</v>
      </c>
    </row>
    <row r="264" spans="1:13" outlineLevel="2" x14ac:dyDescent="0.25">
      <c r="A264" s="44" t="s">
        <v>249</v>
      </c>
      <c r="B264" s="274">
        <v>44495</v>
      </c>
      <c r="C264" s="44" t="s">
        <v>1034</v>
      </c>
      <c r="D264" s="275">
        <v>200003069</v>
      </c>
      <c r="E264" s="44" t="s">
        <v>758</v>
      </c>
      <c r="F264" s="44" t="s">
        <v>773</v>
      </c>
      <c r="G264" s="44"/>
      <c r="H264" s="44"/>
      <c r="I264" s="44"/>
      <c r="J264" s="44"/>
      <c r="K264" s="44"/>
      <c r="L264" s="44"/>
      <c r="M264" s="276">
        <v>8195</v>
      </c>
    </row>
    <row r="265" spans="1:13" outlineLevel="2" x14ac:dyDescent="0.25">
      <c r="A265" s="44" t="s">
        <v>249</v>
      </c>
      <c r="B265" s="274">
        <v>44495</v>
      </c>
      <c r="C265" s="44" t="s">
        <v>1034</v>
      </c>
      <c r="D265" s="275">
        <v>200003069</v>
      </c>
      <c r="E265" s="44" t="s">
        <v>758</v>
      </c>
      <c r="F265" s="44" t="s">
        <v>774</v>
      </c>
      <c r="G265" s="44"/>
      <c r="H265" s="44"/>
      <c r="I265" s="44"/>
      <c r="J265" s="44"/>
      <c r="K265" s="44"/>
      <c r="L265" s="44"/>
      <c r="M265" s="276">
        <v>3600</v>
      </c>
    </row>
    <row r="266" spans="1:13" outlineLevel="2" x14ac:dyDescent="0.25">
      <c r="A266" s="44" t="s">
        <v>249</v>
      </c>
      <c r="B266" s="274">
        <v>44495</v>
      </c>
      <c r="C266" s="44" t="s">
        <v>1034</v>
      </c>
      <c r="D266" s="275">
        <v>200003069</v>
      </c>
      <c r="E266" s="44" t="s">
        <v>758</v>
      </c>
      <c r="F266" s="44" t="s">
        <v>775</v>
      </c>
      <c r="G266" s="44"/>
      <c r="H266" s="44"/>
      <c r="I266" s="44"/>
      <c r="J266" s="44"/>
      <c r="K266" s="44"/>
      <c r="L266" s="44"/>
      <c r="M266" s="276">
        <v>18000</v>
      </c>
    </row>
    <row r="267" spans="1:13" ht="30" outlineLevel="2" x14ac:dyDescent="0.25">
      <c r="A267" s="44" t="s">
        <v>249</v>
      </c>
      <c r="B267" s="274">
        <v>44495</v>
      </c>
      <c r="C267" s="44" t="s">
        <v>1034</v>
      </c>
      <c r="D267" s="275">
        <v>200003069</v>
      </c>
      <c r="E267" s="44" t="s">
        <v>758</v>
      </c>
      <c r="F267" s="44" t="s">
        <v>776</v>
      </c>
      <c r="G267" s="44"/>
      <c r="H267" s="44"/>
      <c r="I267" s="44"/>
      <c r="J267" s="44"/>
      <c r="K267" s="44"/>
      <c r="L267" s="44"/>
      <c r="M267" s="276">
        <v>12000</v>
      </c>
    </row>
    <row r="268" spans="1:13" outlineLevel="2" x14ac:dyDescent="0.25">
      <c r="A268" s="44" t="s">
        <v>249</v>
      </c>
      <c r="B268" s="274">
        <v>44495</v>
      </c>
      <c r="C268" s="44" t="s">
        <v>1034</v>
      </c>
      <c r="D268" s="275">
        <v>200003069</v>
      </c>
      <c r="E268" s="44" t="s">
        <v>758</v>
      </c>
      <c r="F268" s="44" t="s">
        <v>777</v>
      </c>
      <c r="G268" s="44"/>
      <c r="H268" s="44"/>
      <c r="I268" s="44"/>
      <c r="J268" s="44"/>
      <c r="K268" s="44"/>
      <c r="L268" s="44"/>
      <c r="M268" s="276">
        <v>1200</v>
      </c>
    </row>
    <row r="269" spans="1:13" outlineLevel="2" x14ac:dyDescent="0.25">
      <c r="A269" s="44" t="s">
        <v>249</v>
      </c>
      <c r="B269" s="274">
        <v>44495</v>
      </c>
      <c r="C269" s="44" t="s">
        <v>1034</v>
      </c>
      <c r="D269" s="275">
        <v>200003069</v>
      </c>
      <c r="E269" s="44" t="s">
        <v>758</v>
      </c>
      <c r="F269" s="44" t="s">
        <v>778</v>
      </c>
      <c r="G269" s="44"/>
      <c r="H269" s="44"/>
      <c r="I269" s="44"/>
      <c r="J269" s="44"/>
      <c r="K269" s="44"/>
      <c r="L269" s="44"/>
      <c r="M269" s="276">
        <v>10584</v>
      </c>
    </row>
    <row r="270" spans="1:13" outlineLevel="2" x14ac:dyDescent="0.25">
      <c r="A270" s="44" t="s">
        <v>249</v>
      </c>
      <c r="B270" s="274">
        <v>44471</v>
      </c>
      <c r="C270" s="44" t="s">
        <v>1032</v>
      </c>
      <c r="D270" s="275">
        <v>6533</v>
      </c>
      <c r="E270" s="44" t="s">
        <v>846</v>
      </c>
      <c r="F270" s="44" t="s">
        <v>890</v>
      </c>
      <c r="G270" s="44" t="s">
        <v>891</v>
      </c>
      <c r="H270" s="44"/>
      <c r="I270" s="44"/>
      <c r="J270" s="44"/>
      <c r="K270" s="44"/>
      <c r="L270" s="44"/>
      <c r="M270" s="276">
        <v>918.38</v>
      </c>
    </row>
    <row r="271" spans="1:13" outlineLevel="2" x14ac:dyDescent="0.25">
      <c r="A271" s="44" t="s">
        <v>249</v>
      </c>
      <c r="B271" s="274">
        <v>44473</v>
      </c>
      <c r="C271" s="44" t="s">
        <v>1032</v>
      </c>
      <c r="D271" s="275">
        <v>6543</v>
      </c>
      <c r="E271" s="44" t="s">
        <v>846</v>
      </c>
      <c r="F271" s="44" t="s">
        <v>867</v>
      </c>
      <c r="G271" s="44" t="s">
        <v>868</v>
      </c>
      <c r="H271" s="44"/>
      <c r="I271" s="44"/>
      <c r="J271" s="44"/>
      <c r="K271" s="44"/>
      <c r="L271" s="44"/>
      <c r="M271" s="276">
        <v>143.5</v>
      </c>
    </row>
    <row r="272" spans="1:13" outlineLevel="2" x14ac:dyDescent="0.25">
      <c r="A272" s="44" t="s">
        <v>249</v>
      </c>
      <c r="B272" s="274">
        <v>44473</v>
      </c>
      <c r="C272" s="44" t="s">
        <v>1032</v>
      </c>
      <c r="D272" s="275">
        <v>6543</v>
      </c>
      <c r="E272" s="44" t="s">
        <v>846</v>
      </c>
      <c r="F272" s="44" t="s">
        <v>863</v>
      </c>
      <c r="G272" s="44">
        <v>72328</v>
      </c>
      <c r="H272" s="44"/>
      <c r="I272" s="44"/>
      <c r="J272" s="44"/>
      <c r="K272" s="44"/>
      <c r="L272" s="44"/>
      <c r="M272" s="276">
        <v>361.62</v>
      </c>
    </row>
    <row r="273" spans="1:13" ht="30" outlineLevel="2" x14ac:dyDescent="0.25">
      <c r="A273" s="44" t="s">
        <v>249</v>
      </c>
      <c r="B273" s="274">
        <v>44476</v>
      </c>
      <c r="C273" s="44" t="s">
        <v>1032</v>
      </c>
      <c r="D273" s="275">
        <v>6553</v>
      </c>
      <c r="E273" s="44" t="s">
        <v>846</v>
      </c>
      <c r="F273" s="44" t="s">
        <v>873</v>
      </c>
      <c r="G273" s="44" t="s">
        <v>874</v>
      </c>
      <c r="H273" s="44"/>
      <c r="I273" s="44"/>
      <c r="J273" s="44"/>
      <c r="K273" s="44"/>
      <c r="L273" s="44"/>
      <c r="M273" s="276">
        <v>384.17</v>
      </c>
    </row>
    <row r="274" spans="1:13" ht="30" outlineLevel="2" x14ac:dyDescent="0.25">
      <c r="A274" s="44" t="s">
        <v>249</v>
      </c>
      <c r="B274" s="274">
        <v>44482</v>
      </c>
      <c r="C274" s="44" t="s">
        <v>1032</v>
      </c>
      <c r="D274" s="275">
        <v>6566</v>
      </c>
      <c r="E274" s="44" t="s">
        <v>846</v>
      </c>
      <c r="F274" s="44" t="s">
        <v>873</v>
      </c>
      <c r="G274" s="44" t="s">
        <v>874</v>
      </c>
      <c r="H274" s="44"/>
      <c r="I274" s="44"/>
      <c r="J274" s="44"/>
      <c r="K274" s="44"/>
      <c r="L274" s="44"/>
      <c r="M274" s="276">
        <v>384.17</v>
      </c>
    </row>
    <row r="275" spans="1:13" outlineLevel="2" x14ac:dyDescent="0.25">
      <c r="A275" s="44" t="s">
        <v>249</v>
      </c>
      <c r="B275" s="274">
        <v>44490</v>
      </c>
      <c r="C275" s="44" t="s">
        <v>1032</v>
      </c>
      <c r="D275" s="275">
        <v>6601</v>
      </c>
      <c r="E275" s="44" t="s">
        <v>846</v>
      </c>
      <c r="F275" s="44" t="s">
        <v>877</v>
      </c>
      <c r="G275" s="44" t="s">
        <v>878</v>
      </c>
      <c r="H275" s="44"/>
      <c r="I275" s="44"/>
      <c r="J275" s="44"/>
      <c r="K275" s="44"/>
      <c r="L275" s="44"/>
      <c r="M275" s="276">
        <v>63.11</v>
      </c>
    </row>
    <row r="276" spans="1:13" outlineLevel="1" x14ac:dyDescent="0.25">
      <c r="A276" s="286" t="s">
        <v>1060</v>
      </c>
      <c r="B276" s="738"/>
      <c r="C276" s="739"/>
      <c r="D276" s="739"/>
      <c r="E276" s="739"/>
      <c r="F276" s="739"/>
      <c r="G276" s="740"/>
      <c r="H276" s="287"/>
      <c r="I276" s="287"/>
      <c r="J276" s="287"/>
      <c r="K276" s="287"/>
      <c r="L276" s="287"/>
      <c r="M276" s="288">
        <f>SUBTOTAL(9,M263:M275)</f>
        <v>74463.95</v>
      </c>
    </row>
    <row r="277" spans="1:13" outlineLevel="2" x14ac:dyDescent="0.25">
      <c r="A277" s="44" t="s">
        <v>199</v>
      </c>
      <c r="B277" s="274">
        <v>44470</v>
      </c>
      <c r="C277" s="44" t="s">
        <v>1034</v>
      </c>
      <c r="D277" s="275">
        <v>500033638</v>
      </c>
      <c r="E277" s="44" t="s">
        <v>713</v>
      </c>
      <c r="F277" s="44" t="s">
        <v>714</v>
      </c>
      <c r="G277" s="44"/>
      <c r="H277" s="44"/>
      <c r="I277" s="44"/>
      <c r="J277" s="44"/>
      <c r="K277" s="44"/>
      <c r="L277" s="44"/>
      <c r="M277" s="276">
        <v>1791.53</v>
      </c>
    </row>
    <row r="278" spans="1:13" outlineLevel="2" x14ac:dyDescent="0.25">
      <c r="A278" s="44" t="s">
        <v>199</v>
      </c>
      <c r="B278" s="274">
        <v>44470</v>
      </c>
      <c r="C278" s="44" t="s">
        <v>1034</v>
      </c>
      <c r="D278" s="275">
        <v>10400572393</v>
      </c>
      <c r="E278" s="44" t="s">
        <v>716</v>
      </c>
      <c r="F278" s="44" t="s">
        <v>717</v>
      </c>
      <c r="G278" s="44"/>
      <c r="H278" s="44"/>
      <c r="I278" s="44"/>
      <c r="J278" s="44"/>
      <c r="K278" s="44"/>
      <c r="L278" s="44"/>
      <c r="M278" s="276">
        <v>1152.8900000000001</v>
      </c>
    </row>
    <row r="279" spans="1:13" outlineLevel="2" x14ac:dyDescent="0.25">
      <c r="A279" s="44" t="s">
        <v>199</v>
      </c>
      <c r="B279" s="274">
        <v>44470</v>
      </c>
      <c r="C279" s="44" t="s">
        <v>1034</v>
      </c>
      <c r="D279" s="275">
        <v>10400578195</v>
      </c>
      <c r="E279" s="44" t="s">
        <v>716</v>
      </c>
      <c r="F279" s="44" t="s">
        <v>717</v>
      </c>
      <c r="G279" s="44"/>
      <c r="H279" s="44"/>
      <c r="I279" s="44"/>
      <c r="J279" s="44"/>
      <c r="K279" s="44"/>
      <c r="L279" s="44"/>
      <c r="M279" s="276">
        <v>471.07</v>
      </c>
    </row>
    <row r="280" spans="1:13" outlineLevel="2" x14ac:dyDescent="0.25">
      <c r="A280" s="44" t="s">
        <v>199</v>
      </c>
      <c r="B280" s="274">
        <v>44470</v>
      </c>
      <c r="C280" s="44" t="s">
        <v>1034</v>
      </c>
      <c r="D280" s="275">
        <v>60000274229</v>
      </c>
      <c r="E280" s="44" t="s">
        <v>718</v>
      </c>
      <c r="F280" s="44" t="s">
        <v>717</v>
      </c>
      <c r="G280" s="44"/>
      <c r="H280" s="44"/>
      <c r="I280" s="44"/>
      <c r="J280" s="44"/>
      <c r="K280" s="44"/>
      <c r="L280" s="44"/>
      <c r="M280" s="276">
        <v>2625.69</v>
      </c>
    </row>
    <row r="281" spans="1:13" outlineLevel="2" x14ac:dyDescent="0.25">
      <c r="A281" s="44" t="s">
        <v>199</v>
      </c>
      <c r="B281" s="274">
        <v>44470</v>
      </c>
      <c r="C281" s="44" t="s">
        <v>1034</v>
      </c>
      <c r="D281" s="275">
        <v>60000285996</v>
      </c>
      <c r="E281" s="44" t="s">
        <v>718</v>
      </c>
      <c r="F281" s="44" t="s">
        <v>717</v>
      </c>
      <c r="G281" s="44"/>
      <c r="H281" s="44"/>
      <c r="I281" s="44"/>
      <c r="J281" s="44"/>
      <c r="K281" s="44"/>
      <c r="L281" s="44"/>
      <c r="M281" s="276">
        <v>2399.5300000000002</v>
      </c>
    </row>
    <row r="282" spans="1:13" outlineLevel="2" x14ac:dyDescent="0.25">
      <c r="A282" s="44" t="s">
        <v>199</v>
      </c>
      <c r="B282" s="274">
        <v>44496</v>
      </c>
      <c r="C282" s="44" t="s">
        <v>1034</v>
      </c>
      <c r="D282" s="275">
        <v>200025670</v>
      </c>
      <c r="E282" s="44" t="s">
        <v>748</v>
      </c>
      <c r="F282" s="44" t="s">
        <v>779</v>
      </c>
      <c r="G282" s="44"/>
      <c r="H282" s="44"/>
      <c r="I282" s="44"/>
      <c r="J282" s="44"/>
      <c r="K282" s="44"/>
      <c r="L282" s="44"/>
      <c r="M282" s="276">
        <v>258.85000000000002</v>
      </c>
    </row>
    <row r="283" spans="1:13" outlineLevel="2" x14ac:dyDescent="0.25">
      <c r="A283" s="44" t="s">
        <v>199</v>
      </c>
      <c r="B283" s="274">
        <v>44500</v>
      </c>
      <c r="C283" s="44" t="s">
        <v>1034</v>
      </c>
      <c r="D283" s="275">
        <v>60000298248</v>
      </c>
      <c r="E283" s="44" t="s">
        <v>718</v>
      </c>
      <c r="F283" s="44" t="s">
        <v>717</v>
      </c>
      <c r="G283" s="44"/>
      <c r="H283" s="44"/>
      <c r="I283" s="44"/>
      <c r="J283" s="44"/>
      <c r="K283" s="44"/>
      <c r="L283" s="44"/>
      <c r="M283" s="276">
        <v>587.02</v>
      </c>
    </row>
    <row r="284" spans="1:13" outlineLevel="2" x14ac:dyDescent="0.25">
      <c r="A284" s="44" t="s">
        <v>199</v>
      </c>
      <c r="B284" s="274">
        <v>44487</v>
      </c>
      <c r="C284" s="44" t="s">
        <v>1032</v>
      </c>
      <c r="D284" s="275">
        <v>6591</v>
      </c>
      <c r="E284" s="44" t="s">
        <v>846</v>
      </c>
      <c r="F284" s="44" t="s">
        <v>890</v>
      </c>
      <c r="G284" s="44" t="s">
        <v>891</v>
      </c>
      <c r="H284" s="44"/>
      <c r="I284" s="44"/>
      <c r="J284" s="44"/>
      <c r="K284" s="44"/>
      <c r="L284" s="44"/>
      <c r="M284" s="276">
        <v>918.38</v>
      </c>
    </row>
    <row r="285" spans="1:13" outlineLevel="2" x14ac:dyDescent="0.25">
      <c r="A285" s="44" t="s">
        <v>199</v>
      </c>
      <c r="B285" s="274">
        <v>44494</v>
      </c>
      <c r="C285" s="44" t="s">
        <v>1036</v>
      </c>
      <c r="D285" s="275">
        <v>100004973</v>
      </c>
      <c r="E285" s="44" t="s">
        <v>949</v>
      </c>
      <c r="F285" s="44" t="s">
        <v>950</v>
      </c>
      <c r="G285" s="44" t="s">
        <v>951</v>
      </c>
      <c r="H285" s="44">
        <v>0</v>
      </c>
      <c r="I285" s="44">
        <v>0</v>
      </c>
      <c r="J285" s="44">
        <v>0</v>
      </c>
      <c r="K285" s="44">
        <v>1</v>
      </c>
      <c r="L285" s="277">
        <v>2000</v>
      </c>
      <c r="M285" s="269">
        <f t="shared" ref="M285:M323" si="3">L285-(H285+I285+J285)*K285</f>
        <v>2000</v>
      </c>
    </row>
    <row r="286" spans="1:13" ht="30" outlineLevel="2" x14ac:dyDescent="0.25">
      <c r="A286" s="44" t="s">
        <v>199</v>
      </c>
      <c r="B286" s="274">
        <v>44494</v>
      </c>
      <c r="C286" s="44" t="s">
        <v>1036</v>
      </c>
      <c r="D286" s="275">
        <v>100004973</v>
      </c>
      <c r="E286" s="44" t="s">
        <v>952</v>
      </c>
      <c r="F286" s="44" t="s">
        <v>953</v>
      </c>
      <c r="G286" s="44" t="s">
        <v>951</v>
      </c>
      <c r="H286" s="44">
        <v>0</v>
      </c>
      <c r="I286" s="44">
        <v>0</v>
      </c>
      <c r="J286" s="44">
        <v>0</v>
      </c>
      <c r="K286" s="44">
        <v>2</v>
      </c>
      <c r="L286" s="277">
        <v>1200</v>
      </c>
      <c r="M286" s="269">
        <f t="shared" si="3"/>
        <v>1200</v>
      </c>
    </row>
    <row r="287" spans="1:13" ht="30" outlineLevel="2" x14ac:dyDescent="0.25">
      <c r="A287" s="44" t="s">
        <v>199</v>
      </c>
      <c r="B287" s="274">
        <v>44494</v>
      </c>
      <c r="C287" s="44" t="s">
        <v>1036</v>
      </c>
      <c r="D287" s="275">
        <v>100004973</v>
      </c>
      <c r="E287" s="44" t="s">
        <v>954</v>
      </c>
      <c r="F287" s="44" t="s">
        <v>953</v>
      </c>
      <c r="G287" s="44" t="s">
        <v>951</v>
      </c>
      <c r="H287" s="44">
        <v>0</v>
      </c>
      <c r="I287" s="44">
        <v>0</v>
      </c>
      <c r="J287" s="44">
        <v>0</v>
      </c>
      <c r="K287" s="44">
        <v>1</v>
      </c>
      <c r="L287" s="44">
        <v>520</v>
      </c>
      <c r="M287" s="269">
        <f t="shared" si="3"/>
        <v>520</v>
      </c>
    </row>
    <row r="288" spans="1:13" outlineLevel="2" x14ac:dyDescent="0.25">
      <c r="A288" s="44" t="s">
        <v>199</v>
      </c>
      <c r="B288" s="274">
        <v>44494</v>
      </c>
      <c r="C288" s="44" t="s">
        <v>1036</v>
      </c>
      <c r="D288" s="275">
        <v>100004973</v>
      </c>
      <c r="E288" s="44" t="s">
        <v>955</v>
      </c>
      <c r="F288" s="44" t="s">
        <v>956</v>
      </c>
      <c r="G288" s="44" t="s">
        <v>951</v>
      </c>
      <c r="H288" s="44">
        <v>0</v>
      </c>
      <c r="I288" s="44">
        <v>0</v>
      </c>
      <c r="J288" s="44">
        <v>0</v>
      </c>
      <c r="K288" s="44">
        <v>1</v>
      </c>
      <c r="L288" s="277">
        <v>4000</v>
      </c>
      <c r="M288" s="269">
        <f t="shared" si="3"/>
        <v>4000</v>
      </c>
    </row>
    <row r="289" spans="1:13" ht="30" outlineLevel="2" x14ac:dyDescent="0.25">
      <c r="A289" s="44" t="s">
        <v>199</v>
      </c>
      <c r="B289" s="274">
        <v>44494</v>
      </c>
      <c r="C289" s="44" t="s">
        <v>1036</v>
      </c>
      <c r="D289" s="275">
        <v>100004973</v>
      </c>
      <c r="E289" s="44" t="s">
        <v>957</v>
      </c>
      <c r="F289" s="44" t="s">
        <v>958</v>
      </c>
      <c r="G289" s="44" t="s">
        <v>951</v>
      </c>
      <c r="H289" s="44">
        <v>0</v>
      </c>
      <c r="I289" s="44">
        <v>0</v>
      </c>
      <c r="J289" s="44">
        <v>0</v>
      </c>
      <c r="K289" s="44">
        <v>2</v>
      </c>
      <c r="L289" s="44">
        <v>200</v>
      </c>
      <c r="M289" s="269">
        <f t="shared" si="3"/>
        <v>200</v>
      </c>
    </row>
    <row r="290" spans="1:13" outlineLevel="2" x14ac:dyDescent="0.25">
      <c r="A290" s="44" t="s">
        <v>199</v>
      </c>
      <c r="B290" s="274">
        <v>44494</v>
      </c>
      <c r="C290" s="44" t="s">
        <v>1036</v>
      </c>
      <c r="D290" s="275">
        <v>100004973</v>
      </c>
      <c r="E290" s="44" t="s">
        <v>959</v>
      </c>
      <c r="F290" s="44" t="s">
        <v>950</v>
      </c>
      <c r="G290" s="44" t="s">
        <v>951</v>
      </c>
      <c r="H290" s="44">
        <v>0</v>
      </c>
      <c r="I290" s="44">
        <v>0</v>
      </c>
      <c r="J290" s="44">
        <v>0</v>
      </c>
      <c r="K290" s="44">
        <v>1</v>
      </c>
      <c r="L290" s="277">
        <v>1100</v>
      </c>
      <c r="M290" s="269">
        <f t="shared" si="3"/>
        <v>1100</v>
      </c>
    </row>
    <row r="291" spans="1:13" outlineLevel="2" x14ac:dyDescent="0.25">
      <c r="A291" s="44" t="s">
        <v>199</v>
      </c>
      <c r="B291" s="274">
        <v>44494</v>
      </c>
      <c r="C291" s="44" t="s">
        <v>1036</v>
      </c>
      <c r="D291" s="275">
        <v>100004973</v>
      </c>
      <c r="E291" s="44" t="s">
        <v>960</v>
      </c>
      <c r="F291" s="44" t="s">
        <v>961</v>
      </c>
      <c r="G291" s="44" t="s">
        <v>951</v>
      </c>
      <c r="H291" s="44">
        <v>0</v>
      </c>
      <c r="I291" s="44">
        <v>0</v>
      </c>
      <c r="J291" s="44">
        <v>0</v>
      </c>
      <c r="K291" s="44">
        <v>1</v>
      </c>
      <c r="L291" s="277">
        <v>1000</v>
      </c>
      <c r="M291" s="269">
        <f t="shared" si="3"/>
        <v>1000</v>
      </c>
    </row>
    <row r="292" spans="1:13" outlineLevel="2" x14ac:dyDescent="0.25">
      <c r="A292" s="44" t="s">
        <v>199</v>
      </c>
      <c r="B292" s="274">
        <v>44494</v>
      </c>
      <c r="C292" s="44" t="s">
        <v>1036</v>
      </c>
      <c r="D292" s="275">
        <v>100004973</v>
      </c>
      <c r="E292" s="44" t="s">
        <v>962</v>
      </c>
      <c r="F292" s="44" t="s">
        <v>717</v>
      </c>
      <c r="G292" s="44" t="s">
        <v>951</v>
      </c>
      <c r="H292" s="44">
        <v>0</v>
      </c>
      <c r="I292" s="44">
        <v>0</v>
      </c>
      <c r="J292" s="44">
        <v>0</v>
      </c>
      <c r="K292" s="44">
        <v>1</v>
      </c>
      <c r="L292" s="44">
        <v>100</v>
      </c>
      <c r="M292" s="269">
        <f t="shared" si="3"/>
        <v>100</v>
      </c>
    </row>
    <row r="293" spans="1:13" outlineLevel="2" x14ac:dyDescent="0.25">
      <c r="A293" s="44" t="s">
        <v>199</v>
      </c>
      <c r="B293" s="274">
        <v>44494</v>
      </c>
      <c r="C293" s="44" t="s">
        <v>1036</v>
      </c>
      <c r="D293" s="275">
        <v>100004974</v>
      </c>
      <c r="E293" s="44" t="s">
        <v>963</v>
      </c>
      <c r="F293" s="44" t="s">
        <v>964</v>
      </c>
      <c r="G293" s="44" t="s">
        <v>965</v>
      </c>
      <c r="H293" s="44">
        <v>0</v>
      </c>
      <c r="I293" s="44">
        <v>0</v>
      </c>
      <c r="J293" s="44">
        <v>0</v>
      </c>
      <c r="K293" s="44">
        <v>1</v>
      </c>
      <c r="L293" s="277">
        <v>4500</v>
      </c>
      <c r="M293" s="269">
        <f t="shared" si="3"/>
        <v>4500</v>
      </c>
    </row>
    <row r="294" spans="1:13" outlineLevel="2" x14ac:dyDescent="0.25">
      <c r="A294" s="44" t="s">
        <v>199</v>
      </c>
      <c r="B294" s="274">
        <v>44494</v>
      </c>
      <c r="C294" s="44" t="s">
        <v>1036</v>
      </c>
      <c r="D294" s="275">
        <v>100004974</v>
      </c>
      <c r="E294" s="44" t="s">
        <v>966</v>
      </c>
      <c r="F294" s="44" t="s">
        <v>958</v>
      </c>
      <c r="G294" s="44" t="s">
        <v>965</v>
      </c>
      <c r="H294" s="44">
        <v>0</v>
      </c>
      <c r="I294" s="44">
        <v>0</v>
      </c>
      <c r="J294" s="44">
        <v>0</v>
      </c>
      <c r="K294" s="44">
        <v>1</v>
      </c>
      <c r="L294" s="277">
        <v>3000</v>
      </c>
      <c r="M294" s="269">
        <f t="shared" si="3"/>
        <v>3000</v>
      </c>
    </row>
    <row r="295" spans="1:13" outlineLevel="2" x14ac:dyDescent="0.25">
      <c r="A295" s="44" t="s">
        <v>199</v>
      </c>
      <c r="B295" s="274">
        <v>44494</v>
      </c>
      <c r="C295" s="44" t="s">
        <v>1036</v>
      </c>
      <c r="D295" s="275">
        <v>100004974</v>
      </c>
      <c r="E295" s="44" t="s">
        <v>967</v>
      </c>
      <c r="F295" s="44" t="s">
        <v>968</v>
      </c>
      <c r="G295" s="44" t="s">
        <v>965</v>
      </c>
      <c r="H295" s="44">
        <v>0</v>
      </c>
      <c r="I295" s="44">
        <v>0</v>
      </c>
      <c r="J295" s="44">
        <v>0</v>
      </c>
      <c r="K295" s="44">
        <v>1</v>
      </c>
      <c r="L295" s="277">
        <v>1000</v>
      </c>
      <c r="M295" s="269">
        <f t="shared" si="3"/>
        <v>1000</v>
      </c>
    </row>
    <row r="296" spans="1:13" outlineLevel="2" x14ac:dyDescent="0.25">
      <c r="A296" s="44" t="s">
        <v>199</v>
      </c>
      <c r="B296" s="274">
        <v>44494</v>
      </c>
      <c r="C296" s="44" t="s">
        <v>1036</v>
      </c>
      <c r="D296" s="275">
        <v>100004974</v>
      </c>
      <c r="E296" s="44" t="s">
        <v>969</v>
      </c>
      <c r="F296" s="44" t="s">
        <v>950</v>
      </c>
      <c r="G296" s="44" t="s">
        <v>965</v>
      </c>
      <c r="H296" s="44">
        <v>0</v>
      </c>
      <c r="I296" s="44">
        <v>0</v>
      </c>
      <c r="J296" s="44">
        <v>0</v>
      </c>
      <c r="K296" s="44">
        <v>1</v>
      </c>
      <c r="L296" s="277">
        <v>5000</v>
      </c>
      <c r="M296" s="269">
        <f t="shared" si="3"/>
        <v>5000</v>
      </c>
    </row>
    <row r="297" spans="1:13" outlineLevel="2" x14ac:dyDescent="0.25">
      <c r="A297" s="44" t="s">
        <v>199</v>
      </c>
      <c r="B297" s="274">
        <v>44494</v>
      </c>
      <c r="C297" s="44" t="s">
        <v>1036</v>
      </c>
      <c r="D297" s="275">
        <v>100004974</v>
      </c>
      <c r="E297" s="44" t="s">
        <v>970</v>
      </c>
      <c r="F297" s="44" t="s">
        <v>717</v>
      </c>
      <c r="G297" s="44" t="s">
        <v>965</v>
      </c>
      <c r="H297" s="44">
        <v>0</v>
      </c>
      <c r="I297" s="44">
        <v>0</v>
      </c>
      <c r="J297" s="44">
        <v>0</v>
      </c>
      <c r="K297" s="44">
        <v>1</v>
      </c>
      <c r="L297" s="277">
        <v>7075</v>
      </c>
      <c r="M297" s="269">
        <f t="shared" si="3"/>
        <v>7075</v>
      </c>
    </row>
    <row r="298" spans="1:13" outlineLevel="2" x14ac:dyDescent="0.25">
      <c r="A298" s="44" t="s">
        <v>199</v>
      </c>
      <c r="B298" s="274">
        <v>44495</v>
      </c>
      <c r="C298" s="44" t="s">
        <v>1036</v>
      </c>
      <c r="D298" s="275">
        <v>100004976</v>
      </c>
      <c r="E298" s="44" t="s">
        <v>958</v>
      </c>
      <c r="F298" s="44" t="s">
        <v>958</v>
      </c>
      <c r="G298" s="44"/>
      <c r="H298" s="44">
        <v>0</v>
      </c>
      <c r="I298" s="44">
        <v>0</v>
      </c>
      <c r="J298" s="44">
        <v>0</v>
      </c>
      <c r="K298" s="44">
        <v>1</v>
      </c>
      <c r="L298" s="277">
        <v>3000</v>
      </c>
      <c r="M298" s="269">
        <f t="shared" si="3"/>
        <v>3000</v>
      </c>
    </row>
    <row r="299" spans="1:13" outlineLevel="2" x14ac:dyDescent="0.25">
      <c r="A299" s="44" t="s">
        <v>199</v>
      </c>
      <c r="B299" s="274">
        <v>44495</v>
      </c>
      <c r="C299" s="44" t="s">
        <v>1036</v>
      </c>
      <c r="D299" s="275">
        <v>100004976</v>
      </c>
      <c r="E299" s="44" t="s">
        <v>717</v>
      </c>
      <c r="F299" s="44" t="s">
        <v>717</v>
      </c>
      <c r="G299" s="44"/>
      <c r="H299" s="44">
        <v>0</v>
      </c>
      <c r="I299" s="44">
        <v>0</v>
      </c>
      <c r="J299" s="44">
        <v>0</v>
      </c>
      <c r="K299" s="44">
        <v>1</v>
      </c>
      <c r="L299" s="277">
        <v>6725</v>
      </c>
      <c r="M299" s="269">
        <f t="shared" si="3"/>
        <v>6725</v>
      </c>
    </row>
    <row r="300" spans="1:13" outlineLevel="2" x14ac:dyDescent="0.25">
      <c r="A300" s="44" t="s">
        <v>199</v>
      </c>
      <c r="B300" s="274">
        <v>44495</v>
      </c>
      <c r="C300" s="44" t="s">
        <v>1036</v>
      </c>
      <c r="D300" s="275">
        <v>100004976</v>
      </c>
      <c r="E300" s="44" t="s">
        <v>971</v>
      </c>
      <c r="F300" s="44" t="s">
        <v>950</v>
      </c>
      <c r="G300" s="44"/>
      <c r="H300" s="44">
        <v>0</v>
      </c>
      <c r="I300" s="44">
        <v>0</v>
      </c>
      <c r="J300" s="44">
        <v>0</v>
      </c>
      <c r="K300" s="44">
        <v>1</v>
      </c>
      <c r="L300" s="277">
        <v>5000</v>
      </c>
      <c r="M300" s="269">
        <f t="shared" si="3"/>
        <v>5000</v>
      </c>
    </row>
    <row r="301" spans="1:13" outlineLevel="2" x14ac:dyDescent="0.25">
      <c r="A301" s="44" t="s">
        <v>199</v>
      </c>
      <c r="B301" s="274">
        <v>44495</v>
      </c>
      <c r="C301" s="44" t="s">
        <v>1036</v>
      </c>
      <c r="D301" s="275">
        <v>100004976</v>
      </c>
      <c r="E301" s="44" t="s">
        <v>972</v>
      </c>
      <c r="F301" s="44" t="s">
        <v>964</v>
      </c>
      <c r="G301" s="44"/>
      <c r="H301" s="44">
        <v>0</v>
      </c>
      <c r="I301" s="44">
        <v>0</v>
      </c>
      <c r="J301" s="44">
        <v>0</v>
      </c>
      <c r="K301" s="44">
        <v>1</v>
      </c>
      <c r="L301" s="277">
        <v>3000</v>
      </c>
      <c r="M301" s="269">
        <f t="shared" si="3"/>
        <v>3000</v>
      </c>
    </row>
    <row r="302" spans="1:13" ht="30" outlineLevel="2" x14ac:dyDescent="0.25">
      <c r="A302" s="44" t="s">
        <v>199</v>
      </c>
      <c r="B302" s="274">
        <v>44495</v>
      </c>
      <c r="C302" s="44" t="s">
        <v>1036</v>
      </c>
      <c r="D302" s="275">
        <v>100004977</v>
      </c>
      <c r="E302" s="44" t="s">
        <v>973</v>
      </c>
      <c r="F302" s="44" t="s">
        <v>953</v>
      </c>
      <c r="G302" s="44" t="s">
        <v>965</v>
      </c>
      <c r="H302" s="44">
        <v>0</v>
      </c>
      <c r="I302" s="44">
        <v>0</v>
      </c>
      <c r="J302" s="44">
        <v>0</v>
      </c>
      <c r="K302" s="44">
        <v>2</v>
      </c>
      <c r="L302" s="277">
        <v>1200</v>
      </c>
      <c r="M302" s="269">
        <f t="shared" si="3"/>
        <v>1200</v>
      </c>
    </row>
    <row r="303" spans="1:13" outlineLevel="2" x14ac:dyDescent="0.25">
      <c r="A303" s="44" t="s">
        <v>199</v>
      </c>
      <c r="B303" s="274">
        <v>44495</v>
      </c>
      <c r="C303" s="44" t="s">
        <v>1036</v>
      </c>
      <c r="D303" s="275">
        <v>100004977</v>
      </c>
      <c r="E303" s="44" t="s">
        <v>974</v>
      </c>
      <c r="F303" s="44" t="s">
        <v>950</v>
      </c>
      <c r="G303" s="44" t="s">
        <v>965</v>
      </c>
      <c r="H303" s="44">
        <v>0</v>
      </c>
      <c r="I303" s="44">
        <v>0</v>
      </c>
      <c r="J303" s="44">
        <v>0</v>
      </c>
      <c r="K303" s="44">
        <v>1</v>
      </c>
      <c r="L303" s="277">
        <v>2000</v>
      </c>
      <c r="M303" s="269">
        <f t="shared" si="3"/>
        <v>2000</v>
      </c>
    </row>
    <row r="304" spans="1:13" ht="30" outlineLevel="2" x14ac:dyDescent="0.25">
      <c r="A304" s="44" t="s">
        <v>199</v>
      </c>
      <c r="B304" s="274">
        <v>44495</v>
      </c>
      <c r="C304" s="44" t="s">
        <v>1036</v>
      </c>
      <c r="D304" s="275">
        <v>100004977</v>
      </c>
      <c r="E304" s="44" t="s">
        <v>975</v>
      </c>
      <c r="F304" s="44" t="s">
        <v>717</v>
      </c>
      <c r="G304" s="44" t="s">
        <v>965</v>
      </c>
      <c r="H304" s="44">
        <v>0</v>
      </c>
      <c r="I304" s="44">
        <v>0</v>
      </c>
      <c r="J304" s="44">
        <v>0</v>
      </c>
      <c r="K304" s="44">
        <v>1</v>
      </c>
      <c r="L304" s="44">
        <v>100</v>
      </c>
      <c r="M304" s="269">
        <f t="shared" si="3"/>
        <v>100</v>
      </c>
    </row>
    <row r="305" spans="1:13" ht="30" outlineLevel="2" x14ac:dyDescent="0.25">
      <c r="A305" s="44" t="s">
        <v>199</v>
      </c>
      <c r="B305" s="274">
        <v>44495</v>
      </c>
      <c r="C305" s="44" t="s">
        <v>1036</v>
      </c>
      <c r="D305" s="275">
        <v>100004977</v>
      </c>
      <c r="E305" s="44" t="s">
        <v>976</v>
      </c>
      <c r="F305" s="44" t="s">
        <v>953</v>
      </c>
      <c r="G305" s="44" t="s">
        <v>965</v>
      </c>
      <c r="H305" s="44">
        <v>0</v>
      </c>
      <c r="I305" s="44">
        <v>0</v>
      </c>
      <c r="J305" s="44">
        <v>0</v>
      </c>
      <c r="K305" s="44">
        <v>1</v>
      </c>
      <c r="L305" s="44">
        <v>350</v>
      </c>
      <c r="M305" s="269">
        <f t="shared" si="3"/>
        <v>350</v>
      </c>
    </row>
    <row r="306" spans="1:13" outlineLevel="2" x14ac:dyDescent="0.25">
      <c r="A306" s="44" t="s">
        <v>199</v>
      </c>
      <c r="B306" s="274">
        <v>44495</v>
      </c>
      <c r="C306" s="44" t="s">
        <v>1036</v>
      </c>
      <c r="D306" s="275">
        <v>100004977</v>
      </c>
      <c r="E306" s="44" t="s">
        <v>955</v>
      </c>
      <c r="F306" s="44" t="s">
        <v>956</v>
      </c>
      <c r="G306" s="44" t="s">
        <v>965</v>
      </c>
      <c r="H306" s="44">
        <v>0</v>
      </c>
      <c r="I306" s="44">
        <v>0</v>
      </c>
      <c r="J306" s="44">
        <v>0</v>
      </c>
      <c r="K306" s="44">
        <v>1</v>
      </c>
      <c r="L306" s="277">
        <v>4000</v>
      </c>
      <c r="M306" s="269">
        <f t="shared" si="3"/>
        <v>4000</v>
      </c>
    </row>
    <row r="307" spans="1:13" outlineLevel="2" x14ac:dyDescent="0.25">
      <c r="A307" s="44" t="s">
        <v>199</v>
      </c>
      <c r="B307" s="274">
        <v>44495</v>
      </c>
      <c r="C307" s="44" t="s">
        <v>1036</v>
      </c>
      <c r="D307" s="275">
        <v>100004977</v>
      </c>
      <c r="E307" s="44" t="s">
        <v>977</v>
      </c>
      <c r="F307" s="44" t="s">
        <v>940</v>
      </c>
      <c r="G307" s="44" t="s">
        <v>965</v>
      </c>
      <c r="H307" s="44">
        <v>0</v>
      </c>
      <c r="I307" s="44">
        <v>0</v>
      </c>
      <c r="J307" s="44">
        <v>0</v>
      </c>
      <c r="K307" s="44">
        <v>1</v>
      </c>
      <c r="L307" s="44">
        <v>500</v>
      </c>
      <c r="M307" s="269">
        <f t="shared" si="3"/>
        <v>500</v>
      </c>
    </row>
    <row r="308" spans="1:13" ht="30" outlineLevel="2" x14ac:dyDescent="0.25">
      <c r="A308" s="44" t="s">
        <v>199</v>
      </c>
      <c r="B308" s="274">
        <v>44495</v>
      </c>
      <c r="C308" s="44" t="s">
        <v>1036</v>
      </c>
      <c r="D308" s="275">
        <v>100004977</v>
      </c>
      <c r="E308" s="44" t="s">
        <v>957</v>
      </c>
      <c r="F308" s="44" t="s">
        <v>958</v>
      </c>
      <c r="G308" s="44" t="s">
        <v>965</v>
      </c>
      <c r="H308" s="44">
        <v>0</v>
      </c>
      <c r="I308" s="44">
        <v>0</v>
      </c>
      <c r="J308" s="44">
        <v>0</v>
      </c>
      <c r="K308" s="44">
        <v>2</v>
      </c>
      <c r="L308" s="44">
        <v>200</v>
      </c>
      <c r="M308" s="269">
        <f t="shared" si="3"/>
        <v>200</v>
      </c>
    </row>
    <row r="309" spans="1:13" outlineLevel="2" x14ac:dyDescent="0.25">
      <c r="A309" s="44" t="s">
        <v>199</v>
      </c>
      <c r="B309" s="274">
        <v>44495</v>
      </c>
      <c r="C309" s="44" t="s">
        <v>1036</v>
      </c>
      <c r="D309" s="275">
        <v>100004977</v>
      </c>
      <c r="E309" s="44" t="s">
        <v>959</v>
      </c>
      <c r="F309" s="44" t="s">
        <v>950</v>
      </c>
      <c r="G309" s="44" t="s">
        <v>965</v>
      </c>
      <c r="H309" s="44">
        <v>0</v>
      </c>
      <c r="I309" s="44">
        <v>0</v>
      </c>
      <c r="J309" s="44">
        <v>0</v>
      </c>
      <c r="K309" s="44">
        <v>1</v>
      </c>
      <c r="L309" s="44">
        <v>500</v>
      </c>
      <c r="M309" s="269">
        <f t="shared" si="3"/>
        <v>500</v>
      </c>
    </row>
    <row r="310" spans="1:13" outlineLevel="2" x14ac:dyDescent="0.25">
      <c r="A310" s="44" t="s">
        <v>199</v>
      </c>
      <c r="B310" s="274">
        <v>44495</v>
      </c>
      <c r="C310" s="44" t="s">
        <v>1036</v>
      </c>
      <c r="D310" s="275">
        <v>100004977</v>
      </c>
      <c r="E310" s="44" t="s">
        <v>978</v>
      </c>
      <c r="F310" s="44" t="s">
        <v>961</v>
      </c>
      <c r="G310" s="44" t="s">
        <v>965</v>
      </c>
      <c r="H310" s="44">
        <v>0</v>
      </c>
      <c r="I310" s="44">
        <v>0</v>
      </c>
      <c r="J310" s="44">
        <v>0</v>
      </c>
      <c r="K310" s="44">
        <v>1</v>
      </c>
      <c r="L310" s="44">
        <v>500</v>
      </c>
      <c r="M310" s="269">
        <f t="shared" si="3"/>
        <v>500</v>
      </c>
    </row>
    <row r="311" spans="1:13" ht="30" outlineLevel="2" x14ac:dyDescent="0.25">
      <c r="A311" s="44" t="s">
        <v>199</v>
      </c>
      <c r="B311" s="274">
        <v>44495</v>
      </c>
      <c r="C311" s="44" t="s">
        <v>1036</v>
      </c>
      <c r="D311" s="275">
        <v>100004978</v>
      </c>
      <c r="E311" s="44" t="s">
        <v>979</v>
      </c>
      <c r="F311" s="44" t="s">
        <v>953</v>
      </c>
      <c r="G311" s="44" t="s">
        <v>965</v>
      </c>
      <c r="H311" s="44">
        <v>0</v>
      </c>
      <c r="I311" s="44">
        <v>0</v>
      </c>
      <c r="J311" s="44">
        <v>0</v>
      </c>
      <c r="K311" s="44">
        <v>2</v>
      </c>
      <c r="L311" s="277">
        <v>1200</v>
      </c>
      <c r="M311" s="269">
        <f t="shared" si="3"/>
        <v>1200</v>
      </c>
    </row>
    <row r="312" spans="1:13" outlineLevel="2" x14ac:dyDescent="0.25">
      <c r="A312" s="44" t="s">
        <v>199</v>
      </c>
      <c r="B312" s="274">
        <v>44495</v>
      </c>
      <c r="C312" s="44" t="s">
        <v>1036</v>
      </c>
      <c r="D312" s="275">
        <v>100004978</v>
      </c>
      <c r="E312" s="44" t="s">
        <v>974</v>
      </c>
      <c r="F312" s="44" t="s">
        <v>950</v>
      </c>
      <c r="G312" s="44" t="s">
        <v>965</v>
      </c>
      <c r="H312" s="44">
        <v>0</v>
      </c>
      <c r="I312" s="44">
        <v>0</v>
      </c>
      <c r="J312" s="44">
        <v>0</v>
      </c>
      <c r="K312" s="44">
        <v>1</v>
      </c>
      <c r="L312" s="277">
        <v>2000</v>
      </c>
      <c r="M312" s="269">
        <f t="shared" si="3"/>
        <v>2000</v>
      </c>
    </row>
    <row r="313" spans="1:13" outlineLevel="2" x14ac:dyDescent="0.25">
      <c r="A313" s="44" t="s">
        <v>199</v>
      </c>
      <c r="B313" s="274">
        <v>44495</v>
      </c>
      <c r="C313" s="44" t="s">
        <v>1036</v>
      </c>
      <c r="D313" s="275">
        <v>100004978</v>
      </c>
      <c r="E313" s="44" t="s">
        <v>980</v>
      </c>
      <c r="F313" s="44" t="s">
        <v>717</v>
      </c>
      <c r="G313" s="44" t="s">
        <v>965</v>
      </c>
      <c r="H313" s="44">
        <v>0</v>
      </c>
      <c r="I313" s="44">
        <v>0</v>
      </c>
      <c r="J313" s="44">
        <v>0</v>
      </c>
      <c r="K313" s="44">
        <v>1</v>
      </c>
      <c r="L313" s="44">
        <v>100</v>
      </c>
      <c r="M313" s="269">
        <f t="shared" si="3"/>
        <v>100</v>
      </c>
    </row>
    <row r="314" spans="1:13" ht="30" outlineLevel="2" x14ac:dyDescent="0.25">
      <c r="A314" s="44" t="s">
        <v>199</v>
      </c>
      <c r="B314" s="274">
        <v>44495</v>
      </c>
      <c r="C314" s="44" t="s">
        <v>1036</v>
      </c>
      <c r="D314" s="275">
        <v>100004978</v>
      </c>
      <c r="E314" s="44" t="s">
        <v>981</v>
      </c>
      <c r="F314" s="44" t="s">
        <v>953</v>
      </c>
      <c r="G314" s="44" t="s">
        <v>965</v>
      </c>
      <c r="H314" s="44">
        <v>0</v>
      </c>
      <c r="I314" s="44">
        <v>0</v>
      </c>
      <c r="J314" s="44">
        <v>0</v>
      </c>
      <c r="K314" s="44">
        <v>1</v>
      </c>
      <c r="L314" s="44">
        <v>350</v>
      </c>
      <c r="M314" s="269">
        <f t="shared" si="3"/>
        <v>350</v>
      </c>
    </row>
    <row r="315" spans="1:13" outlineLevel="2" x14ac:dyDescent="0.25">
      <c r="A315" s="44" t="s">
        <v>199</v>
      </c>
      <c r="B315" s="274">
        <v>44495</v>
      </c>
      <c r="C315" s="44" t="s">
        <v>1036</v>
      </c>
      <c r="D315" s="275">
        <v>100004978</v>
      </c>
      <c r="E315" s="44" t="s">
        <v>955</v>
      </c>
      <c r="F315" s="44" t="s">
        <v>956</v>
      </c>
      <c r="G315" s="44" t="s">
        <v>965</v>
      </c>
      <c r="H315" s="44">
        <v>0</v>
      </c>
      <c r="I315" s="44">
        <v>0</v>
      </c>
      <c r="J315" s="44">
        <v>0</v>
      </c>
      <c r="K315" s="44">
        <v>1</v>
      </c>
      <c r="L315" s="277">
        <v>4000</v>
      </c>
      <c r="M315" s="269">
        <f t="shared" si="3"/>
        <v>4000</v>
      </c>
    </row>
    <row r="316" spans="1:13" ht="30" outlineLevel="2" x14ac:dyDescent="0.25">
      <c r="A316" s="44" t="s">
        <v>199</v>
      </c>
      <c r="B316" s="274">
        <v>44495</v>
      </c>
      <c r="C316" s="44" t="s">
        <v>1036</v>
      </c>
      <c r="D316" s="275">
        <v>100004978</v>
      </c>
      <c r="E316" s="44" t="s">
        <v>957</v>
      </c>
      <c r="F316" s="44" t="s">
        <v>958</v>
      </c>
      <c r="G316" s="44" t="s">
        <v>965</v>
      </c>
      <c r="H316" s="44">
        <v>0</v>
      </c>
      <c r="I316" s="44">
        <v>0</v>
      </c>
      <c r="J316" s="44">
        <v>0</v>
      </c>
      <c r="K316" s="44">
        <v>2</v>
      </c>
      <c r="L316" s="44">
        <v>200</v>
      </c>
      <c r="M316" s="269">
        <f t="shared" si="3"/>
        <v>200</v>
      </c>
    </row>
    <row r="317" spans="1:13" outlineLevel="2" x14ac:dyDescent="0.25">
      <c r="A317" s="44" t="s">
        <v>199</v>
      </c>
      <c r="B317" s="274">
        <v>44495</v>
      </c>
      <c r="C317" s="44" t="s">
        <v>1036</v>
      </c>
      <c r="D317" s="275">
        <v>100004978</v>
      </c>
      <c r="E317" s="44" t="s">
        <v>959</v>
      </c>
      <c r="F317" s="44" t="s">
        <v>950</v>
      </c>
      <c r="G317" s="44" t="s">
        <v>965</v>
      </c>
      <c r="H317" s="44">
        <v>0</v>
      </c>
      <c r="I317" s="44">
        <v>0</v>
      </c>
      <c r="J317" s="44">
        <v>0</v>
      </c>
      <c r="K317" s="44">
        <v>1</v>
      </c>
      <c r="L317" s="277">
        <v>1000</v>
      </c>
      <c r="M317" s="269">
        <f t="shared" si="3"/>
        <v>1000</v>
      </c>
    </row>
    <row r="318" spans="1:13" outlineLevel="2" x14ac:dyDescent="0.25">
      <c r="A318" s="44" t="s">
        <v>199</v>
      </c>
      <c r="B318" s="274">
        <v>44495</v>
      </c>
      <c r="C318" s="44" t="s">
        <v>1036</v>
      </c>
      <c r="D318" s="275">
        <v>100004978</v>
      </c>
      <c r="E318" s="44" t="s">
        <v>978</v>
      </c>
      <c r="F318" s="44" t="s">
        <v>961</v>
      </c>
      <c r="G318" s="44" t="s">
        <v>965</v>
      </c>
      <c r="H318" s="44">
        <v>0</v>
      </c>
      <c r="I318" s="44">
        <v>0</v>
      </c>
      <c r="J318" s="44">
        <v>0</v>
      </c>
      <c r="K318" s="44">
        <v>1</v>
      </c>
      <c r="L318" s="44">
        <v>800</v>
      </c>
      <c r="M318" s="269">
        <f t="shared" si="3"/>
        <v>800</v>
      </c>
    </row>
    <row r="319" spans="1:13" outlineLevel="2" x14ac:dyDescent="0.25">
      <c r="A319" s="44" t="s">
        <v>199</v>
      </c>
      <c r="B319" s="274">
        <v>44495</v>
      </c>
      <c r="C319" s="44" t="s">
        <v>1036</v>
      </c>
      <c r="D319" s="275">
        <v>100004979</v>
      </c>
      <c r="E319" s="44" t="s">
        <v>963</v>
      </c>
      <c r="F319" s="44" t="s">
        <v>964</v>
      </c>
      <c r="G319" s="44" t="s">
        <v>965</v>
      </c>
      <c r="H319" s="44">
        <v>0</v>
      </c>
      <c r="I319" s="44">
        <v>0</v>
      </c>
      <c r="J319" s="44">
        <v>0</v>
      </c>
      <c r="K319" s="44">
        <v>1</v>
      </c>
      <c r="L319" s="277">
        <v>4500</v>
      </c>
      <c r="M319" s="269">
        <f t="shared" si="3"/>
        <v>4500</v>
      </c>
    </row>
    <row r="320" spans="1:13" outlineLevel="2" x14ac:dyDescent="0.25">
      <c r="A320" s="44" t="s">
        <v>199</v>
      </c>
      <c r="B320" s="274">
        <v>44495</v>
      </c>
      <c r="C320" s="44" t="s">
        <v>1036</v>
      </c>
      <c r="D320" s="275">
        <v>100004979</v>
      </c>
      <c r="E320" s="44" t="s">
        <v>982</v>
      </c>
      <c r="F320" s="44" t="s">
        <v>950</v>
      </c>
      <c r="G320" s="44" t="s">
        <v>965</v>
      </c>
      <c r="H320" s="44">
        <v>0</v>
      </c>
      <c r="I320" s="44">
        <v>0</v>
      </c>
      <c r="J320" s="44">
        <v>0</v>
      </c>
      <c r="K320" s="44">
        <v>1</v>
      </c>
      <c r="L320" s="277">
        <v>3000</v>
      </c>
      <c r="M320" s="269">
        <f t="shared" si="3"/>
        <v>3000</v>
      </c>
    </row>
    <row r="321" spans="1:13" outlineLevel="2" x14ac:dyDescent="0.25">
      <c r="A321" s="44" t="s">
        <v>199</v>
      </c>
      <c r="B321" s="274">
        <v>44495</v>
      </c>
      <c r="C321" s="44" t="s">
        <v>1036</v>
      </c>
      <c r="D321" s="275">
        <v>100004979</v>
      </c>
      <c r="E321" s="44" t="s">
        <v>983</v>
      </c>
      <c r="F321" s="44" t="s">
        <v>968</v>
      </c>
      <c r="G321" s="44" t="s">
        <v>965</v>
      </c>
      <c r="H321" s="44">
        <v>0</v>
      </c>
      <c r="I321" s="44">
        <v>0</v>
      </c>
      <c r="J321" s="44">
        <v>0</v>
      </c>
      <c r="K321" s="44">
        <v>1</v>
      </c>
      <c r="L321" s="277">
        <v>1250</v>
      </c>
      <c r="M321" s="269">
        <f t="shared" si="3"/>
        <v>1250</v>
      </c>
    </row>
    <row r="322" spans="1:13" outlineLevel="2" x14ac:dyDescent="0.25">
      <c r="A322" s="44" t="s">
        <v>199</v>
      </c>
      <c r="B322" s="274">
        <v>44495</v>
      </c>
      <c r="C322" s="44" t="s">
        <v>1036</v>
      </c>
      <c r="D322" s="275">
        <v>100004979</v>
      </c>
      <c r="E322" s="44" t="s">
        <v>970</v>
      </c>
      <c r="F322" s="44" t="s">
        <v>717</v>
      </c>
      <c r="G322" s="44" t="s">
        <v>965</v>
      </c>
      <c r="H322" s="44">
        <v>0</v>
      </c>
      <c r="I322" s="44">
        <v>0</v>
      </c>
      <c r="J322" s="44">
        <v>0</v>
      </c>
      <c r="K322" s="44">
        <v>1</v>
      </c>
      <c r="L322" s="277">
        <v>6725</v>
      </c>
      <c r="M322" s="269">
        <f t="shared" si="3"/>
        <v>6725</v>
      </c>
    </row>
    <row r="323" spans="1:13" outlineLevel="2" x14ac:dyDescent="0.25">
      <c r="A323" s="44" t="s">
        <v>199</v>
      </c>
      <c r="B323" s="274">
        <v>44495</v>
      </c>
      <c r="C323" s="44" t="s">
        <v>1036</v>
      </c>
      <c r="D323" s="275">
        <v>100004979</v>
      </c>
      <c r="E323" s="44" t="s">
        <v>984</v>
      </c>
      <c r="F323" s="44" t="s">
        <v>950</v>
      </c>
      <c r="G323" s="44" t="s">
        <v>965</v>
      </c>
      <c r="H323" s="44">
        <v>0</v>
      </c>
      <c r="I323" s="44">
        <v>0</v>
      </c>
      <c r="J323" s="44">
        <v>0</v>
      </c>
      <c r="K323" s="44">
        <v>1</v>
      </c>
      <c r="L323" s="277">
        <v>5000</v>
      </c>
      <c r="M323" s="269">
        <f t="shared" si="3"/>
        <v>5000</v>
      </c>
    </row>
    <row r="324" spans="1:13" outlineLevel="1" x14ac:dyDescent="0.25">
      <c r="A324" s="282" t="s">
        <v>647</v>
      </c>
      <c r="B324" s="741"/>
      <c r="C324" s="742"/>
      <c r="D324" s="742"/>
      <c r="E324" s="742"/>
      <c r="F324" s="742"/>
      <c r="G324" s="743"/>
      <c r="H324" s="283"/>
      <c r="I324" s="283"/>
      <c r="J324" s="283"/>
      <c r="K324" s="283"/>
      <c r="L324" s="284"/>
      <c r="M324" s="285">
        <f>SUBTOTAL(9,M277:M323)</f>
        <v>98099.959999999992</v>
      </c>
    </row>
    <row r="325" spans="1:13" outlineLevel="2" x14ac:dyDescent="0.25">
      <c r="A325" s="44" t="s">
        <v>207</v>
      </c>
      <c r="B325" s="274">
        <v>44470</v>
      </c>
      <c r="C325" s="44" t="s">
        <v>1034</v>
      </c>
      <c r="D325" s="275">
        <v>500033638</v>
      </c>
      <c r="E325" s="44" t="s">
        <v>713</v>
      </c>
      <c r="F325" s="44" t="s">
        <v>714</v>
      </c>
      <c r="G325" s="44"/>
      <c r="H325" s="44"/>
      <c r="I325" s="44"/>
      <c r="J325" s="44"/>
      <c r="K325" s="44"/>
      <c r="L325" s="44"/>
      <c r="M325" s="276">
        <v>1791.53</v>
      </c>
    </row>
    <row r="326" spans="1:13" outlineLevel="2" x14ac:dyDescent="0.25">
      <c r="A326" s="44" t="s">
        <v>207</v>
      </c>
      <c r="B326" s="274">
        <v>44470</v>
      </c>
      <c r="C326" s="44" t="s">
        <v>1034</v>
      </c>
      <c r="D326" s="275">
        <v>10400560760</v>
      </c>
      <c r="E326" s="44" t="s">
        <v>716</v>
      </c>
      <c r="F326" s="44" t="s">
        <v>717</v>
      </c>
      <c r="G326" s="44"/>
      <c r="H326" s="44"/>
      <c r="I326" s="44"/>
      <c r="J326" s="44"/>
      <c r="K326" s="44"/>
      <c r="L326" s="44"/>
      <c r="M326" s="276">
        <v>158.68</v>
      </c>
    </row>
    <row r="327" spans="1:13" outlineLevel="2" x14ac:dyDescent="0.25">
      <c r="A327" s="44" t="s">
        <v>207</v>
      </c>
      <c r="B327" s="274">
        <v>44470</v>
      </c>
      <c r="C327" s="44" t="s">
        <v>1034</v>
      </c>
      <c r="D327" s="275">
        <v>10400578195</v>
      </c>
      <c r="E327" s="44" t="s">
        <v>716</v>
      </c>
      <c r="F327" s="44" t="s">
        <v>717</v>
      </c>
      <c r="G327" s="44"/>
      <c r="H327" s="44"/>
      <c r="I327" s="44"/>
      <c r="J327" s="44"/>
      <c r="K327" s="44"/>
      <c r="L327" s="44"/>
      <c r="M327" s="276">
        <v>833.42</v>
      </c>
    </row>
    <row r="328" spans="1:13" outlineLevel="2" x14ac:dyDescent="0.25">
      <c r="A328" s="44" t="s">
        <v>207</v>
      </c>
      <c r="B328" s="274">
        <v>44470</v>
      </c>
      <c r="C328" s="44" t="s">
        <v>1034</v>
      </c>
      <c r="D328" s="275">
        <v>60000274229</v>
      </c>
      <c r="E328" s="44" t="s">
        <v>718</v>
      </c>
      <c r="F328" s="44" t="s">
        <v>717</v>
      </c>
      <c r="G328" s="44"/>
      <c r="H328" s="44"/>
      <c r="I328" s="44"/>
      <c r="J328" s="44"/>
      <c r="K328" s="44"/>
      <c r="L328" s="44"/>
      <c r="M328" s="276">
        <v>1575.41</v>
      </c>
    </row>
    <row r="329" spans="1:13" ht="30" outlineLevel="2" x14ac:dyDescent="0.25">
      <c r="A329" s="44" t="s">
        <v>207</v>
      </c>
      <c r="B329" s="274">
        <v>44470</v>
      </c>
      <c r="C329" s="44" t="s">
        <v>1034</v>
      </c>
      <c r="D329" s="275">
        <v>62902669209</v>
      </c>
      <c r="E329" s="44" t="s">
        <v>719</v>
      </c>
      <c r="F329" s="44" t="s">
        <v>717</v>
      </c>
      <c r="G329" s="44"/>
      <c r="H329" s="44"/>
      <c r="I329" s="44"/>
      <c r="J329" s="44"/>
      <c r="K329" s="44"/>
      <c r="L329" s="44"/>
      <c r="M329" s="276">
        <v>727.78</v>
      </c>
    </row>
    <row r="330" spans="1:13" outlineLevel="2" x14ac:dyDescent="0.25">
      <c r="A330" s="44" t="s">
        <v>207</v>
      </c>
      <c r="B330" s="274">
        <v>44474</v>
      </c>
      <c r="C330" s="44" t="s">
        <v>1034</v>
      </c>
      <c r="D330" s="275">
        <v>200000058</v>
      </c>
      <c r="E330" s="44" t="s">
        <v>733</v>
      </c>
      <c r="F330" s="44" t="s">
        <v>752</v>
      </c>
      <c r="G330" s="44"/>
      <c r="H330" s="44"/>
      <c r="I330" s="44"/>
      <c r="J330" s="44"/>
      <c r="K330" s="44"/>
      <c r="L330" s="44"/>
      <c r="M330" s="276">
        <v>1800</v>
      </c>
    </row>
    <row r="331" spans="1:13" outlineLevel="2" x14ac:dyDescent="0.25">
      <c r="A331" s="44" t="s">
        <v>207</v>
      </c>
      <c r="B331" s="274">
        <v>44474</v>
      </c>
      <c r="C331" s="44" t="s">
        <v>1034</v>
      </c>
      <c r="D331" s="275">
        <v>200000058</v>
      </c>
      <c r="E331" s="44" t="s">
        <v>733</v>
      </c>
      <c r="F331" s="44" t="s">
        <v>738</v>
      </c>
      <c r="G331" s="44"/>
      <c r="H331" s="44"/>
      <c r="I331" s="44"/>
      <c r="J331" s="44"/>
      <c r="K331" s="44"/>
      <c r="L331" s="44"/>
      <c r="M331" s="276">
        <v>5000</v>
      </c>
    </row>
    <row r="332" spans="1:13" outlineLevel="2" x14ac:dyDescent="0.25">
      <c r="A332" s="44" t="s">
        <v>207</v>
      </c>
      <c r="B332" s="274">
        <v>44482</v>
      </c>
      <c r="C332" s="44" t="s">
        <v>1034</v>
      </c>
      <c r="D332" s="275">
        <v>400035303</v>
      </c>
      <c r="E332" s="44" t="s">
        <v>780</v>
      </c>
      <c r="F332" s="44" t="s">
        <v>781</v>
      </c>
      <c r="G332" s="44"/>
      <c r="H332" s="44"/>
      <c r="I332" s="44"/>
      <c r="J332" s="44"/>
      <c r="K332" s="44"/>
      <c r="L332" s="44"/>
      <c r="M332" s="276">
        <v>13376</v>
      </c>
    </row>
    <row r="333" spans="1:13" outlineLevel="2" x14ac:dyDescent="0.25">
      <c r="A333" s="44" t="s">
        <v>207</v>
      </c>
      <c r="B333" s="274">
        <v>44482</v>
      </c>
      <c r="C333" s="44" t="s">
        <v>1034</v>
      </c>
      <c r="D333" s="275">
        <v>400035303</v>
      </c>
      <c r="E333" s="44" t="s">
        <v>780</v>
      </c>
      <c r="F333" s="44" t="s">
        <v>782</v>
      </c>
      <c r="G333" s="44"/>
      <c r="H333" s="44"/>
      <c r="I333" s="44"/>
      <c r="J333" s="44"/>
      <c r="K333" s="44"/>
      <c r="L333" s="44"/>
      <c r="M333" s="276">
        <v>14003</v>
      </c>
    </row>
    <row r="334" spans="1:13" outlineLevel="2" x14ac:dyDescent="0.25">
      <c r="A334" s="44" t="s">
        <v>207</v>
      </c>
      <c r="B334" s="274">
        <v>44482</v>
      </c>
      <c r="C334" s="44" t="s">
        <v>1034</v>
      </c>
      <c r="D334" s="275">
        <v>400035303</v>
      </c>
      <c r="E334" s="44" t="s">
        <v>780</v>
      </c>
      <c r="F334" s="44" t="s">
        <v>783</v>
      </c>
      <c r="G334" s="44"/>
      <c r="H334" s="44"/>
      <c r="I334" s="44"/>
      <c r="J334" s="44"/>
      <c r="K334" s="44"/>
      <c r="L334" s="44"/>
      <c r="M334" s="276">
        <v>564.32000000000005</v>
      </c>
    </row>
    <row r="335" spans="1:13" outlineLevel="2" x14ac:dyDescent="0.25">
      <c r="A335" s="44" t="s">
        <v>207</v>
      </c>
      <c r="B335" s="274">
        <v>44482</v>
      </c>
      <c r="C335" s="44" t="s">
        <v>1034</v>
      </c>
      <c r="D335" s="275">
        <v>400035303</v>
      </c>
      <c r="E335" s="44" t="s">
        <v>780</v>
      </c>
      <c r="F335" s="44" t="s">
        <v>784</v>
      </c>
      <c r="G335" s="44"/>
      <c r="H335" s="44"/>
      <c r="I335" s="44"/>
      <c r="J335" s="44"/>
      <c r="K335" s="44"/>
      <c r="L335" s="44"/>
      <c r="M335" s="276">
        <v>7106</v>
      </c>
    </row>
    <row r="336" spans="1:13" ht="30" outlineLevel="2" x14ac:dyDescent="0.25">
      <c r="A336" s="44" t="s">
        <v>207</v>
      </c>
      <c r="B336" s="274">
        <v>44488</v>
      </c>
      <c r="C336" s="44" t="s">
        <v>1034</v>
      </c>
      <c r="D336" s="275">
        <v>62902744239</v>
      </c>
      <c r="E336" s="44" t="s">
        <v>719</v>
      </c>
      <c r="F336" s="44" t="s">
        <v>717</v>
      </c>
      <c r="G336" s="44"/>
      <c r="H336" s="44"/>
      <c r="I336" s="44"/>
      <c r="J336" s="44"/>
      <c r="K336" s="44"/>
      <c r="L336" s="44"/>
      <c r="M336" s="276">
        <v>107.27</v>
      </c>
    </row>
    <row r="337" spans="1:13" outlineLevel="2" x14ac:dyDescent="0.25">
      <c r="A337" s="44" t="s">
        <v>207</v>
      </c>
      <c r="B337" s="274">
        <v>44491</v>
      </c>
      <c r="C337" s="44" t="s">
        <v>1034</v>
      </c>
      <c r="D337" s="275">
        <v>10400676781</v>
      </c>
      <c r="E337" s="44" t="s">
        <v>716</v>
      </c>
      <c r="F337" s="44" t="s">
        <v>717</v>
      </c>
      <c r="G337" s="44"/>
      <c r="H337" s="44"/>
      <c r="I337" s="44"/>
      <c r="J337" s="44"/>
      <c r="K337" s="44"/>
      <c r="L337" s="44"/>
      <c r="M337" s="276">
        <v>578.51</v>
      </c>
    </row>
    <row r="338" spans="1:13" outlineLevel="2" x14ac:dyDescent="0.25">
      <c r="A338" s="44" t="s">
        <v>207</v>
      </c>
      <c r="B338" s="274">
        <v>44491</v>
      </c>
      <c r="C338" s="44" t="s">
        <v>1034</v>
      </c>
      <c r="D338" s="275">
        <v>10400701977</v>
      </c>
      <c r="E338" s="44" t="s">
        <v>716</v>
      </c>
      <c r="F338" s="44" t="s">
        <v>717</v>
      </c>
      <c r="G338" s="44"/>
      <c r="H338" s="44"/>
      <c r="I338" s="44"/>
      <c r="J338" s="44"/>
      <c r="K338" s="44"/>
      <c r="L338" s="44"/>
      <c r="M338" s="276">
        <v>887.6</v>
      </c>
    </row>
    <row r="339" spans="1:13" outlineLevel="2" x14ac:dyDescent="0.25">
      <c r="A339" s="44" t="s">
        <v>207</v>
      </c>
      <c r="B339" s="274">
        <v>44500</v>
      </c>
      <c r="C339" s="44" t="s">
        <v>1034</v>
      </c>
      <c r="D339" s="275">
        <v>60000298248</v>
      </c>
      <c r="E339" s="44" t="s">
        <v>718</v>
      </c>
      <c r="F339" s="44" t="s">
        <v>717</v>
      </c>
      <c r="G339" s="44"/>
      <c r="H339" s="44"/>
      <c r="I339" s="44"/>
      <c r="J339" s="44"/>
      <c r="K339" s="44"/>
      <c r="L339" s="44"/>
      <c r="M339" s="276">
        <v>1827.18</v>
      </c>
    </row>
    <row r="340" spans="1:13" outlineLevel="2" x14ac:dyDescent="0.25">
      <c r="A340" s="44" t="s">
        <v>207</v>
      </c>
      <c r="B340" s="274">
        <v>44484</v>
      </c>
      <c r="C340" s="44" t="s">
        <v>1035</v>
      </c>
      <c r="D340" s="275">
        <v>400005628</v>
      </c>
      <c r="E340" s="44" t="s">
        <v>780</v>
      </c>
      <c r="F340" s="44" t="s">
        <v>838</v>
      </c>
      <c r="G340" s="44"/>
      <c r="H340" s="44"/>
      <c r="I340" s="44"/>
      <c r="J340" s="44"/>
      <c r="K340" s="44"/>
      <c r="L340" s="44"/>
      <c r="M340" s="276">
        <v>-2453.4499999999998</v>
      </c>
    </row>
    <row r="341" spans="1:13" outlineLevel="2" x14ac:dyDescent="0.25">
      <c r="A341" s="44" t="s">
        <v>207</v>
      </c>
      <c r="B341" s="274">
        <v>44471</v>
      </c>
      <c r="C341" s="44" t="s">
        <v>1032</v>
      </c>
      <c r="D341" s="275">
        <v>6534</v>
      </c>
      <c r="E341" s="44" t="s">
        <v>846</v>
      </c>
      <c r="F341" s="44" t="s">
        <v>890</v>
      </c>
      <c r="G341" s="44" t="s">
        <v>891</v>
      </c>
      <c r="H341" s="44"/>
      <c r="I341" s="44"/>
      <c r="J341" s="44"/>
      <c r="K341" s="44"/>
      <c r="L341" s="44"/>
      <c r="M341" s="276">
        <v>918.38</v>
      </c>
    </row>
    <row r="342" spans="1:13" outlineLevel="2" x14ac:dyDescent="0.25">
      <c r="A342" s="44" t="s">
        <v>207</v>
      </c>
      <c r="B342" s="274">
        <v>44483</v>
      </c>
      <c r="C342" s="44" t="s">
        <v>1032</v>
      </c>
      <c r="D342" s="275">
        <v>6577</v>
      </c>
      <c r="E342" s="44" t="s">
        <v>846</v>
      </c>
      <c r="F342" s="44" t="s">
        <v>866</v>
      </c>
      <c r="G342" s="44" t="s">
        <v>854</v>
      </c>
      <c r="H342" s="44"/>
      <c r="I342" s="44"/>
      <c r="J342" s="44"/>
      <c r="K342" s="44"/>
      <c r="L342" s="44"/>
      <c r="M342" s="276">
        <v>1032.03</v>
      </c>
    </row>
    <row r="343" spans="1:13" ht="30" outlineLevel="2" x14ac:dyDescent="0.25">
      <c r="A343" s="44" t="s">
        <v>207</v>
      </c>
      <c r="B343" s="274">
        <v>44473</v>
      </c>
      <c r="C343" s="44" t="s">
        <v>1036</v>
      </c>
      <c r="D343" s="275">
        <v>100004935</v>
      </c>
      <c r="E343" s="44" t="s">
        <v>985</v>
      </c>
      <c r="F343" s="44" t="s">
        <v>934</v>
      </c>
      <c r="G343" s="44" t="s">
        <v>986</v>
      </c>
      <c r="H343" s="44">
        <v>0</v>
      </c>
      <c r="I343" s="44">
        <v>0</v>
      </c>
      <c r="J343" s="44">
        <v>0</v>
      </c>
      <c r="K343" s="44">
        <v>1</v>
      </c>
      <c r="L343" s="44">
        <v>500</v>
      </c>
      <c r="M343" s="269">
        <f t="shared" ref="M343:M353" si="4">L343-(H343+I343+J343)*K343</f>
        <v>500</v>
      </c>
    </row>
    <row r="344" spans="1:13" ht="30" outlineLevel="2" x14ac:dyDescent="0.25">
      <c r="A344" s="44" t="s">
        <v>207</v>
      </c>
      <c r="B344" s="274">
        <v>44473</v>
      </c>
      <c r="C344" s="44" t="s">
        <v>1036</v>
      </c>
      <c r="D344" s="275">
        <v>100004935</v>
      </c>
      <c r="E344" s="44" t="s">
        <v>987</v>
      </c>
      <c r="F344" s="44" t="s">
        <v>953</v>
      </c>
      <c r="G344" s="44" t="s">
        <v>986</v>
      </c>
      <c r="H344" s="44">
        <v>0</v>
      </c>
      <c r="I344" s="44">
        <v>0</v>
      </c>
      <c r="J344" s="44">
        <v>0</v>
      </c>
      <c r="K344" s="44">
        <v>1</v>
      </c>
      <c r="L344" s="44">
        <v>600</v>
      </c>
      <c r="M344" s="269">
        <f t="shared" si="4"/>
        <v>600</v>
      </c>
    </row>
    <row r="345" spans="1:13" ht="30" outlineLevel="2" x14ac:dyDescent="0.25">
      <c r="A345" s="44" t="s">
        <v>207</v>
      </c>
      <c r="B345" s="274">
        <v>44473</v>
      </c>
      <c r="C345" s="44" t="s">
        <v>1036</v>
      </c>
      <c r="D345" s="275">
        <v>100004935</v>
      </c>
      <c r="E345" s="44" t="s">
        <v>716</v>
      </c>
      <c r="F345" s="44" t="s">
        <v>717</v>
      </c>
      <c r="G345" s="44" t="s">
        <v>986</v>
      </c>
      <c r="H345" s="44">
        <v>27.768594</v>
      </c>
      <c r="I345" s="44">
        <v>0</v>
      </c>
      <c r="J345" s="44">
        <v>0</v>
      </c>
      <c r="K345" s="44">
        <v>2</v>
      </c>
      <c r="L345" s="44">
        <v>320</v>
      </c>
      <c r="M345" s="269">
        <f t="shared" si="4"/>
        <v>264.46281199999999</v>
      </c>
    </row>
    <row r="346" spans="1:13" ht="30" outlineLevel="2" x14ac:dyDescent="0.25">
      <c r="A346" s="44" t="s">
        <v>207</v>
      </c>
      <c r="B346" s="274">
        <v>44473</v>
      </c>
      <c r="C346" s="44" t="s">
        <v>1036</v>
      </c>
      <c r="D346" s="275">
        <v>100004935</v>
      </c>
      <c r="E346" s="44" t="s">
        <v>716</v>
      </c>
      <c r="F346" s="44" t="s">
        <v>717</v>
      </c>
      <c r="G346" s="44" t="s">
        <v>986</v>
      </c>
      <c r="H346" s="44">
        <v>29.504117999999998</v>
      </c>
      <c r="I346" s="44">
        <v>0</v>
      </c>
      <c r="J346" s="44">
        <v>0</v>
      </c>
      <c r="K346" s="44">
        <v>2</v>
      </c>
      <c r="L346" s="44">
        <v>340</v>
      </c>
      <c r="M346" s="269">
        <f t="shared" si="4"/>
        <v>280.99176399999999</v>
      </c>
    </row>
    <row r="347" spans="1:13" ht="30" outlineLevel="2" x14ac:dyDescent="0.25">
      <c r="A347" s="44" t="s">
        <v>207</v>
      </c>
      <c r="B347" s="274">
        <v>44473</v>
      </c>
      <c r="C347" s="44" t="s">
        <v>1036</v>
      </c>
      <c r="D347" s="275">
        <v>100004935</v>
      </c>
      <c r="E347" s="44" t="s">
        <v>716</v>
      </c>
      <c r="F347" s="44" t="s">
        <v>717</v>
      </c>
      <c r="G347" s="44" t="s">
        <v>986</v>
      </c>
      <c r="H347" s="44">
        <v>32.975186999999998</v>
      </c>
      <c r="I347" s="44">
        <v>0</v>
      </c>
      <c r="J347" s="44">
        <v>0</v>
      </c>
      <c r="K347" s="44">
        <v>1</v>
      </c>
      <c r="L347" s="44">
        <v>190</v>
      </c>
      <c r="M347" s="269">
        <f t="shared" si="4"/>
        <v>157.02481299999999</v>
      </c>
    </row>
    <row r="348" spans="1:13" ht="30" outlineLevel="2" x14ac:dyDescent="0.25">
      <c r="A348" s="44" t="s">
        <v>207</v>
      </c>
      <c r="B348" s="274">
        <v>44473</v>
      </c>
      <c r="C348" s="44" t="s">
        <v>1036</v>
      </c>
      <c r="D348" s="275">
        <v>100004935</v>
      </c>
      <c r="E348" s="44" t="s">
        <v>716</v>
      </c>
      <c r="F348" s="44" t="s">
        <v>717</v>
      </c>
      <c r="G348" s="44" t="s">
        <v>986</v>
      </c>
      <c r="H348" s="44">
        <v>38.181801</v>
      </c>
      <c r="I348" s="44">
        <v>0</v>
      </c>
      <c r="J348" s="44">
        <v>0</v>
      </c>
      <c r="K348" s="44">
        <v>1</v>
      </c>
      <c r="L348" s="44">
        <v>220</v>
      </c>
      <c r="M348" s="269">
        <f t="shared" si="4"/>
        <v>181.81819899999999</v>
      </c>
    </row>
    <row r="349" spans="1:13" ht="30" outlineLevel="2" x14ac:dyDescent="0.25">
      <c r="A349" s="44" t="s">
        <v>207</v>
      </c>
      <c r="B349" s="274">
        <v>44473</v>
      </c>
      <c r="C349" s="44" t="s">
        <v>1036</v>
      </c>
      <c r="D349" s="275">
        <v>100004935</v>
      </c>
      <c r="E349" s="44" t="s">
        <v>915</v>
      </c>
      <c r="F349" s="44" t="s">
        <v>717</v>
      </c>
      <c r="G349" s="44" t="s">
        <v>986</v>
      </c>
      <c r="H349" s="44">
        <v>43.388415000000002</v>
      </c>
      <c r="I349" s="44">
        <v>0</v>
      </c>
      <c r="J349" s="44">
        <v>0</v>
      </c>
      <c r="K349" s="44">
        <v>2</v>
      </c>
      <c r="L349" s="44">
        <v>500</v>
      </c>
      <c r="M349" s="269">
        <f t="shared" si="4"/>
        <v>413.22316999999998</v>
      </c>
    </row>
    <row r="350" spans="1:13" ht="30" outlineLevel="2" x14ac:dyDescent="0.25">
      <c r="A350" s="44" t="s">
        <v>207</v>
      </c>
      <c r="B350" s="274">
        <v>44473</v>
      </c>
      <c r="C350" s="44" t="s">
        <v>1036</v>
      </c>
      <c r="D350" s="275">
        <v>100004935</v>
      </c>
      <c r="E350" s="44" t="s">
        <v>988</v>
      </c>
      <c r="F350" s="44" t="s">
        <v>953</v>
      </c>
      <c r="G350" s="44" t="s">
        <v>986</v>
      </c>
      <c r="H350" s="44">
        <v>0</v>
      </c>
      <c r="I350" s="44">
        <v>0</v>
      </c>
      <c r="J350" s="44">
        <v>0</v>
      </c>
      <c r="K350" s="44">
        <v>1</v>
      </c>
      <c r="L350" s="44">
        <v>520</v>
      </c>
      <c r="M350" s="269">
        <f t="shared" si="4"/>
        <v>520</v>
      </c>
    </row>
    <row r="351" spans="1:13" ht="30" outlineLevel="2" x14ac:dyDescent="0.25">
      <c r="A351" s="44" t="s">
        <v>207</v>
      </c>
      <c r="B351" s="274">
        <v>44483</v>
      </c>
      <c r="C351" s="44" t="s">
        <v>1036</v>
      </c>
      <c r="D351" s="275">
        <v>100004945</v>
      </c>
      <c r="E351" s="44" t="s">
        <v>989</v>
      </c>
      <c r="F351" s="44" t="s">
        <v>953</v>
      </c>
      <c r="G351" s="44" t="s">
        <v>990</v>
      </c>
      <c r="H351" s="44">
        <v>0</v>
      </c>
      <c r="I351" s="44">
        <v>0</v>
      </c>
      <c r="J351" s="44">
        <v>0</v>
      </c>
      <c r="K351" s="44">
        <v>1</v>
      </c>
      <c r="L351" s="44">
        <v>600</v>
      </c>
      <c r="M351" s="269">
        <f t="shared" si="4"/>
        <v>600</v>
      </c>
    </row>
    <row r="352" spans="1:13" ht="30" outlineLevel="2" x14ac:dyDescent="0.25">
      <c r="A352" s="44" t="s">
        <v>207</v>
      </c>
      <c r="B352" s="274">
        <v>44483</v>
      </c>
      <c r="C352" s="44" t="s">
        <v>1036</v>
      </c>
      <c r="D352" s="275">
        <v>100004945</v>
      </c>
      <c r="E352" s="44" t="s">
        <v>716</v>
      </c>
      <c r="F352" s="44" t="s">
        <v>717</v>
      </c>
      <c r="G352" s="44" t="s">
        <v>990</v>
      </c>
      <c r="H352" s="44">
        <v>38.181801</v>
      </c>
      <c r="I352" s="44">
        <v>0</v>
      </c>
      <c r="J352" s="44">
        <v>0</v>
      </c>
      <c r="K352" s="44">
        <v>1</v>
      </c>
      <c r="L352" s="44">
        <v>220</v>
      </c>
      <c r="M352" s="269">
        <f t="shared" si="4"/>
        <v>181.81819899999999</v>
      </c>
    </row>
    <row r="353" spans="1:13" ht="30" outlineLevel="2" x14ac:dyDescent="0.25">
      <c r="A353" s="44" t="s">
        <v>207</v>
      </c>
      <c r="B353" s="274">
        <v>44483</v>
      </c>
      <c r="C353" s="44" t="s">
        <v>1036</v>
      </c>
      <c r="D353" s="275">
        <v>100004945</v>
      </c>
      <c r="E353" s="44" t="s">
        <v>915</v>
      </c>
      <c r="F353" s="44" t="s">
        <v>717</v>
      </c>
      <c r="G353" s="44" t="s">
        <v>990</v>
      </c>
      <c r="H353" s="44">
        <v>43.388415000000002</v>
      </c>
      <c r="I353" s="44">
        <v>0</v>
      </c>
      <c r="J353" s="44">
        <v>0</v>
      </c>
      <c r="K353" s="44">
        <v>1</v>
      </c>
      <c r="L353" s="44">
        <v>250</v>
      </c>
      <c r="M353" s="269">
        <f t="shared" si="4"/>
        <v>206.61158499999999</v>
      </c>
    </row>
    <row r="354" spans="1:13" outlineLevel="1" x14ac:dyDescent="0.25">
      <c r="A354" s="282" t="s">
        <v>648</v>
      </c>
      <c r="B354" s="741"/>
      <c r="C354" s="742"/>
      <c r="D354" s="742"/>
      <c r="E354" s="742"/>
      <c r="F354" s="742"/>
      <c r="G354" s="743"/>
      <c r="H354" s="283"/>
      <c r="I354" s="283"/>
      <c r="J354" s="283"/>
      <c r="K354" s="283"/>
      <c r="L354" s="283"/>
      <c r="M354" s="285">
        <f>SUBTOTAL(9,M325:M353)</f>
        <v>53739.610541999988</v>
      </c>
    </row>
    <row r="355" spans="1:13" outlineLevel="2" x14ac:dyDescent="0.25">
      <c r="A355" s="44" t="s">
        <v>200</v>
      </c>
      <c r="B355" s="274">
        <v>44484</v>
      </c>
      <c r="C355" s="44" t="s">
        <v>1032</v>
      </c>
      <c r="D355" s="275">
        <v>6581</v>
      </c>
      <c r="E355" s="44" t="s">
        <v>846</v>
      </c>
      <c r="F355" s="44" t="s">
        <v>892</v>
      </c>
      <c r="G355" s="44" t="s">
        <v>893</v>
      </c>
      <c r="H355" s="44"/>
      <c r="I355" s="44"/>
      <c r="J355" s="44"/>
      <c r="K355" s="44"/>
      <c r="L355" s="44"/>
      <c r="M355" s="276">
        <v>61.48</v>
      </c>
    </row>
    <row r="356" spans="1:13" ht="30" outlineLevel="2" x14ac:dyDescent="0.25">
      <c r="A356" s="44" t="s">
        <v>200</v>
      </c>
      <c r="B356" s="274">
        <v>44473</v>
      </c>
      <c r="C356" s="44" t="s">
        <v>1036</v>
      </c>
      <c r="D356" s="275">
        <v>100004936</v>
      </c>
      <c r="E356" s="44" t="s">
        <v>946</v>
      </c>
      <c r="F356" s="44" t="s">
        <v>947</v>
      </c>
      <c r="G356" s="44" t="s">
        <v>948</v>
      </c>
      <c r="H356" s="44">
        <v>0</v>
      </c>
      <c r="I356" s="44">
        <v>0</v>
      </c>
      <c r="J356" s="44">
        <v>0</v>
      </c>
      <c r="K356" s="44">
        <v>1</v>
      </c>
      <c r="L356" s="44">
        <v>100</v>
      </c>
      <c r="M356" s="269">
        <f>L356-(H356+I356+J356)*K356</f>
        <v>100</v>
      </c>
    </row>
    <row r="357" spans="1:13" outlineLevel="2" x14ac:dyDescent="0.25">
      <c r="A357" s="44" t="s">
        <v>200</v>
      </c>
      <c r="B357" s="274">
        <v>44495</v>
      </c>
      <c r="C357" s="44" t="s">
        <v>1036</v>
      </c>
      <c r="D357" s="275">
        <v>100004978</v>
      </c>
      <c r="E357" s="44" t="s">
        <v>991</v>
      </c>
      <c r="F357" s="44" t="s">
        <v>940</v>
      </c>
      <c r="G357" s="44" t="s">
        <v>965</v>
      </c>
      <c r="H357" s="44">
        <v>0</v>
      </c>
      <c r="I357" s="44">
        <v>0</v>
      </c>
      <c r="J357" s="44">
        <v>0</v>
      </c>
      <c r="K357" s="44">
        <v>1</v>
      </c>
      <c r="L357" s="277">
        <v>1000</v>
      </c>
      <c r="M357" s="269">
        <f>L357-(H357+I357+J357)*K357</f>
        <v>1000</v>
      </c>
    </row>
    <row r="358" spans="1:13" outlineLevel="1" x14ac:dyDescent="0.25">
      <c r="A358" s="286" t="s">
        <v>1061</v>
      </c>
      <c r="B358" s="738"/>
      <c r="C358" s="739"/>
      <c r="D358" s="739"/>
      <c r="E358" s="739"/>
      <c r="F358" s="739"/>
      <c r="G358" s="740"/>
      <c r="H358" s="287"/>
      <c r="I358" s="287"/>
      <c r="J358" s="287"/>
      <c r="K358" s="287"/>
      <c r="L358" s="289"/>
      <c r="M358" s="288">
        <f>SUBTOTAL(9,M355:M357)</f>
        <v>1161.48</v>
      </c>
    </row>
    <row r="359" spans="1:13" ht="30" outlineLevel="2" x14ac:dyDescent="0.25">
      <c r="A359" s="44" t="s">
        <v>289</v>
      </c>
      <c r="B359" s="274">
        <v>44470</v>
      </c>
      <c r="C359" s="44" t="s">
        <v>1036</v>
      </c>
      <c r="D359" s="275">
        <v>100004929</v>
      </c>
      <c r="E359" s="44" t="s">
        <v>992</v>
      </c>
      <c r="F359" s="44" t="s">
        <v>920</v>
      </c>
      <c r="G359" s="44" t="s">
        <v>941</v>
      </c>
      <c r="H359" s="44">
        <v>0</v>
      </c>
      <c r="I359" s="44">
        <v>0</v>
      </c>
      <c r="J359" s="44">
        <v>0</v>
      </c>
      <c r="K359" s="44">
        <v>1</v>
      </c>
      <c r="L359" s="44">
        <v>900</v>
      </c>
      <c r="M359" s="269">
        <f>L359-(H359+I359+J359)*K359</f>
        <v>900</v>
      </c>
    </row>
    <row r="360" spans="1:13" ht="30" outlineLevel="2" x14ac:dyDescent="0.25">
      <c r="A360" s="44" t="s">
        <v>289</v>
      </c>
      <c r="B360" s="274">
        <v>44473</v>
      </c>
      <c r="C360" s="44" t="s">
        <v>1036</v>
      </c>
      <c r="D360" s="275">
        <v>100004936</v>
      </c>
      <c r="E360" s="44" t="s">
        <v>946</v>
      </c>
      <c r="F360" s="44" t="s">
        <v>947</v>
      </c>
      <c r="G360" s="44" t="s">
        <v>948</v>
      </c>
      <c r="H360" s="44">
        <v>0</v>
      </c>
      <c r="I360" s="44">
        <v>0</v>
      </c>
      <c r="J360" s="44">
        <v>0</v>
      </c>
      <c r="K360" s="44">
        <v>1</v>
      </c>
      <c r="L360" s="44">
        <v>100</v>
      </c>
      <c r="M360" s="269">
        <f>L360-(H360+I360+J360)*K360</f>
        <v>100</v>
      </c>
    </row>
    <row r="361" spans="1:13" outlineLevel="1" x14ac:dyDescent="0.25">
      <c r="A361" s="286" t="s">
        <v>1062</v>
      </c>
      <c r="B361" s="738"/>
      <c r="C361" s="739"/>
      <c r="D361" s="739"/>
      <c r="E361" s="739"/>
      <c r="F361" s="739"/>
      <c r="G361" s="740"/>
      <c r="H361" s="287"/>
      <c r="I361" s="287"/>
      <c r="J361" s="287"/>
      <c r="K361" s="287"/>
      <c r="L361" s="287"/>
      <c r="M361" s="288">
        <f>SUBTOTAL(9,M359:M360)</f>
        <v>1000</v>
      </c>
    </row>
    <row r="362" spans="1:13" outlineLevel="2" x14ac:dyDescent="0.25">
      <c r="A362" s="44" t="s">
        <v>265</v>
      </c>
      <c r="B362" s="274">
        <v>44484</v>
      </c>
      <c r="C362" s="44" t="s">
        <v>1032</v>
      </c>
      <c r="D362" s="275">
        <v>6616</v>
      </c>
      <c r="E362" s="44" t="s">
        <v>846</v>
      </c>
      <c r="F362" s="44" t="s">
        <v>894</v>
      </c>
      <c r="G362" s="44" t="s">
        <v>895</v>
      </c>
      <c r="H362" s="44"/>
      <c r="I362" s="44"/>
      <c r="J362" s="44"/>
      <c r="K362" s="44"/>
      <c r="L362" s="44"/>
      <c r="M362" s="276">
        <v>355</v>
      </c>
    </row>
    <row r="363" spans="1:13" outlineLevel="1" x14ac:dyDescent="0.25">
      <c r="A363" s="286" t="s">
        <v>1063</v>
      </c>
      <c r="B363" s="738"/>
      <c r="C363" s="739"/>
      <c r="D363" s="739"/>
      <c r="E363" s="739"/>
      <c r="F363" s="739"/>
      <c r="G363" s="740"/>
      <c r="H363" s="287"/>
      <c r="I363" s="287"/>
      <c r="J363" s="287"/>
      <c r="K363" s="287"/>
      <c r="L363" s="287"/>
      <c r="M363" s="288">
        <f>SUBTOTAL(9,M362:M362)</f>
        <v>355</v>
      </c>
    </row>
    <row r="364" spans="1:13" outlineLevel="2" x14ac:dyDescent="0.25">
      <c r="A364" s="44" t="s">
        <v>238</v>
      </c>
      <c r="B364" s="274">
        <v>44495</v>
      </c>
      <c r="C364" s="44" t="s">
        <v>1034</v>
      </c>
      <c r="D364" s="275">
        <v>500003105</v>
      </c>
      <c r="E364" s="44" t="s">
        <v>724</v>
      </c>
      <c r="F364" s="44" t="s">
        <v>735</v>
      </c>
      <c r="G364" s="44"/>
      <c r="H364" s="44"/>
      <c r="I364" s="44"/>
      <c r="J364" s="44"/>
      <c r="K364" s="44"/>
      <c r="L364" s="44"/>
      <c r="M364" s="276">
        <v>433.02</v>
      </c>
    </row>
    <row r="365" spans="1:13" outlineLevel="2" x14ac:dyDescent="0.25">
      <c r="A365" s="44" t="s">
        <v>238</v>
      </c>
      <c r="B365" s="274">
        <v>44487</v>
      </c>
      <c r="C365" s="44" t="s">
        <v>1032</v>
      </c>
      <c r="D365" s="275">
        <v>6617</v>
      </c>
      <c r="E365" s="44" t="s">
        <v>846</v>
      </c>
      <c r="F365" s="44" t="s">
        <v>213</v>
      </c>
      <c r="G365" s="44" t="s">
        <v>864</v>
      </c>
      <c r="H365" s="44"/>
      <c r="I365" s="44"/>
      <c r="J365" s="44"/>
      <c r="K365" s="44"/>
      <c r="L365" s="44"/>
      <c r="M365" s="276">
        <v>117.62</v>
      </c>
    </row>
    <row r="366" spans="1:13" outlineLevel="2" x14ac:dyDescent="0.25">
      <c r="A366" s="44" t="s">
        <v>238</v>
      </c>
      <c r="B366" s="274">
        <v>44487</v>
      </c>
      <c r="C366" s="44" t="s">
        <v>1032</v>
      </c>
      <c r="D366" s="275">
        <v>6617</v>
      </c>
      <c r="E366" s="44" t="s">
        <v>846</v>
      </c>
      <c r="F366" s="44" t="s">
        <v>863</v>
      </c>
      <c r="G366" s="44">
        <v>72328</v>
      </c>
      <c r="H366" s="44"/>
      <c r="I366" s="44"/>
      <c r="J366" s="44"/>
      <c r="K366" s="44"/>
      <c r="L366" s="44"/>
      <c r="M366" s="276">
        <v>280.56</v>
      </c>
    </row>
    <row r="367" spans="1:13" ht="30" outlineLevel="2" x14ac:dyDescent="0.25">
      <c r="A367" s="44" t="s">
        <v>238</v>
      </c>
      <c r="B367" s="274">
        <v>44487</v>
      </c>
      <c r="C367" s="44" t="s">
        <v>1032</v>
      </c>
      <c r="D367" s="275">
        <v>6617</v>
      </c>
      <c r="E367" s="44" t="s">
        <v>846</v>
      </c>
      <c r="F367" s="44" t="s">
        <v>896</v>
      </c>
      <c r="G367" s="44" t="s">
        <v>897</v>
      </c>
      <c r="H367" s="44"/>
      <c r="I367" s="44"/>
      <c r="J367" s="44"/>
      <c r="K367" s="44"/>
      <c r="L367" s="44"/>
      <c r="M367" s="276">
        <v>841.8</v>
      </c>
    </row>
    <row r="368" spans="1:13" s="188" customFormat="1" outlineLevel="2" x14ac:dyDescent="0.25">
      <c r="A368" s="44" t="s">
        <v>238</v>
      </c>
      <c r="B368" s="274">
        <v>44498</v>
      </c>
      <c r="C368" s="44" t="s">
        <v>1036</v>
      </c>
      <c r="D368" s="275">
        <v>100004991</v>
      </c>
      <c r="E368" s="44" t="s">
        <v>993</v>
      </c>
      <c r="F368" s="44" t="s">
        <v>920</v>
      </c>
      <c r="G368" s="44" t="s">
        <v>918</v>
      </c>
      <c r="H368" s="44">
        <v>0</v>
      </c>
      <c r="I368" s="44">
        <v>0</v>
      </c>
      <c r="J368" s="44">
        <v>0</v>
      </c>
      <c r="K368" s="44">
        <v>1</v>
      </c>
      <c r="L368" s="277">
        <v>1200</v>
      </c>
      <c r="M368" s="269">
        <f>L368-(H368+I368+J368)*K368</f>
        <v>1200</v>
      </c>
    </row>
    <row r="369" spans="1:13" s="188" customFormat="1" outlineLevel="1" x14ac:dyDescent="0.25">
      <c r="A369" s="286" t="s">
        <v>1064</v>
      </c>
      <c r="B369" s="738"/>
      <c r="C369" s="739"/>
      <c r="D369" s="739"/>
      <c r="E369" s="739"/>
      <c r="F369" s="739"/>
      <c r="G369" s="740"/>
      <c r="H369" s="287"/>
      <c r="I369" s="287"/>
      <c r="J369" s="287"/>
      <c r="K369" s="287"/>
      <c r="L369" s="289"/>
      <c r="M369" s="288">
        <f>SUBTOTAL(9,M364:M368)</f>
        <v>2873</v>
      </c>
    </row>
    <row r="370" spans="1:13" s="188" customFormat="1" outlineLevel="2" x14ac:dyDescent="0.25">
      <c r="A370" s="44" t="s">
        <v>106</v>
      </c>
      <c r="B370" s="274">
        <v>44495</v>
      </c>
      <c r="C370" s="44" t="s">
        <v>1034</v>
      </c>
      <c r="D370" s="275">
        <v>500003105</v>
      </c>
      <c r="E370" s="44" t="s">
        <v>724</v>
      </c>
      <c r="F370" s="44" t="s">
        <v>735</v>
      </c>
      <c r="G370" s="44"/>
      <c r="H370" s="44"/>
      <c r="I370" s="44"/>
      <c r="J370" s="44"/>
      <c r="K370" s="44"/>
      <c r="L370" s="44"/>
      <c r="M370" s="276">
        <v>2882.04</v>
      </c>
    </row>
    <row r="371" spans="1:13" s="188" customFormat="1" outlineLevel="2" x14ac:dyDescent="0.25">
      <c r="A371" s="278" t="s">
        <v>106</v>
      </c>
      <c r="B371" s="279">
        <v>44489</v>
      </c>
      <c r="C371" s="278" t="s">
        <v>1033</v>
      </c>
      <c r="D371" s="275">
        <v>7714</v>
      </c>
      <c r="E371" s="278" t="s">
        <v>841</v>
      </c>
      <c r="F371" s="278" t="s">
        <v>842</v>
      </c>
      <c r="G371" s="278" t="s">
        <v>843</v>
      </c>
      <c r="H371" s="278"/>
      <c r="I371" s="278"/>
      <c r="J371" s="278"/>
      <c r="K371" s="278"/>
      <c r="L371" s="278"/>
      <c r="M371" s="269">
        <v>650</v>
      </c>
    </row>
    <row r="372" spans="1:13" s="188" customFormat="1" outlineLevel="1" x14ac:dyDescent="0.25">
      <c r="A372" s="286" t="s">
        <v>1065</v>
      </c>
      <c r="B372" s="738"/>
      <c r="C372" s="739"/>
      <c r="D372" s="739"/>
      <c r="E372" s="739"/>
      <c r="F372" s="739"/>
      <c r="G372" s="740"/>
      <c r="H372" s="287"/>
      <c r="I372" s="287"/>
      <c r="J372" s="287"/>
      <c r="K372" s="287"/>
      <c r="L372" s="287"/>
      <c r="M372" s="288">
        <f>SUBTOTAL(9,M370:M371)</f>
        <v>3532.04</v>
      </c>
    </row>
    <row r="373" spans="1:13" s="188" customFormat="1" ht="45" outlineLevel="2" x14ac:dyDescent="0.25">
      <c r="A373" s="44" t="s">
        <v>183</v>
      </c>
      <c r="B373" s="274">
        <v>44495</v>
      </c>
      <c r="C373" s="44" t="s">
        <v>1034</v>
      </c>
      <c r="D373" s="275">
        <v>100000119</v>
      </c>
      <c r="E373" s="44" t="s">
        <v>767</v>
      </c>
      <c r="F373" s="44" t="s">
        <v>785</v>
      </c>
      <c r="G373" s="44"/>
      <c r="H373" s="44"/>
      <c r="I373" s="44"/>
      <c r="J373" s="44"/>
      <c r="K373" s="44"/>
      <c r="L373" s="44"/>
      <c r="M373" s="276">
        <v>41500</v>
      </c>
    </row>
    <row r="374" spans="1:13" outlineLevel="2" x14ac:dyDescent="0.25">
      <c r="A374" s="44" t="s">
        <v>183</v>
      </c>
      <c r="B374" s="274">
        <v>44496</v>
      </c>
      <c r="C374" s="44" t="s">
        <v>1034</v>
      </c>
      <c r="D374" s="275">
        <v>300000103</v>
      </c>
      <c r="E374" s="44" t="s">
        <v>728</v>
      </c>
      <c r="F374" s="44" t="s">
        <v>786</v>
      </c>
      <c r="G374" s="44"/>
      <c r="H374" s="44"/>
      <c r="I374" s="44"/>
      <c r="J374" s="44"/>
      <c r="K374" s="44"/>
      <c r="L374" s="44"/>
      <c r="M374" s="276">
        <v>7595.04</v>
      </c>
    </row>
    <row r="375" spans="1:13" outlineLevel="2" x14ac:dyDescent="0.25">
      <c r="A375" s="44" t="s">
        <v>183</v>
      </c>
      <c r="B375" s="274">
        <v>44496</v>
      </c>
      <c r="C375" s="44" t="s">
        <v>1034</v>
      </c>
      <c r="D375" s="275">
        <v>300000103</v>
      </c>
      <c r="E375" s="44" t="s">
        <v>728</v>
      </c>
      <c r="F375" s="44" t="s">
        <v>787</v>
      </c>
      <c r="G375" s="44"/>
      <c r="H375" s="44"/>
      <c r="I375" s="44"/>
      <c r="J375" s="44"/>
      <c r="K375" s="44"/>
      <c r="L375" s="44"/>
      <c r="M375" s="276">
        <v>2975.21</v>
      </c>
    </row>
    <row r="376" spans="1:13" outlineLevel="2" x14ac:dyDescent="0.25">
      <c r="A376" s="44" t="s">
        <v>183</v>
      </c>
      <c r="B376" s="274">
        <v>44496</v>
      </c>
      <c r="C376" s="44" t="s">
        <v>1034</v>
      </c>
      <c r="D376" s="275">
        <v>300000103</v>
      </c>
      <c r="E376" s="44" t="s">
        <v>728</v>
      </c>
      <c r="F376" s="44" t="s">
        <v>788</v>
      </c>
      <c r="G376" s="44"/>
      <c r="H376" s="44"/>
      <c r="I376" s="44"/>
      <c r="J376" s="44"/>
      <c r="K376" s="44"/>
      <c r="L376" s="44"/>
      <c r="M376" s="276">
        <v>916.53</v>
      </c>
    </row>
    <row r="377" spans="1:13" outlineLevel="2" x14ac:dyDescent="0.25">
      <c r="A377" s="44" t="s">
        <v>183</v>
      </c>
      <c r="B377" s="274">
        <v>44473</v>
      </c>
      <c r="C377" s="44" t="s">
        <v>1032</v>
      </c>
      <c r="D377" s="275">
        <v>6538</v>
      </c>
      <c r="E377" s="44" t="s">
        <v>846</v>
      </c>
      <c r="F377" s="44" t="s">
        <v>875</v>
      </c>
      <c r="G377" s="44" t="s">
        <v>898</v>
      </c>
      <c r="H377" s="44"/>
      <c r="I377" s="44"/>
      <c r="J377" s="44"/>
      <c r="K377" s="44"/>
      <c r="L377" s="44"/>
      <c r="M377" s="276">
        <v>72.34</v>
      </c>
    </row>
    <row r="378" spans="1:13" outlineLevel="2" x14ac:dyDescent="0.25">
      <c r="A378" s="44" t="s">
        <v>183</v>
      </c>
      <c r="B378" s="274">
        <v>44481</v>
      </c>
      <c r="C378" s="44" t="s">
        <v>1032</v>
      </c>
      <c r="D378" s="275">
        <v>6558</v>
      </c>
      <c r="E378" s="44" t="s">
        <v>846</v>
      </c>
      <c r="F378" s="44" t="s">
        <v>877</v>
      </c>
      <c r="G378" s="44" t="s">
        <v>878</v>
      </c>
      <c r="H378" s="44"/>
      <c r="I378" s="44"/>
      <c r="J378" s="44"/>
      <c r="K378" s="44"/>
      <c r="L378" s="44"/>
      <c r="M378" s="276">
        <v>63.11</v>
      </c>
    </row>
    <row r="379" spans="1:13" outlineLevel="2" x14ac:dyDescent="0.25">
      <c r="A379" s="44" t="s">
        <v>183</v>
      </c>
      <c r="B379" s="274">
        <v>44481</v>
      </c>
      <c r="C379" s="44" t="s">
        <v>1032</v>
      </c>
      <c r="D379" s="275">
        <v>6558</v>
      </c>
      <c r="E379" s="44" t="s">
        <v>846</v>
      </c>
      <c r="F379" s="44" t="s">
        <v>863</v>
      </c>
      <c r="G379" s="44">
        <v>72328</v>
      </c>
      <c r="H379" s="44"/>
      <c r="I379" s="44"/>
      <c r="J379" s="44"/>
      <c r="K379" s="44"/>
      <c r="L379" s="44"/>
      <c r="M379" s="276">
        <v>361.62</v>
      </c>
    </row>
    <row r="380" spans="1:13" outlineLevel="2" x14ac:dyDescent="0.25">
      <c r="A380" s="44" t="s">
        <v>183</v>
      </c>
      <c r="B380" s="274">
        <v>44494</v>
      </c>
      <c r="C380" s="44" t="s">
        <v>1032</v>
      </c>
      <c r="D380" s="275">
        <v>6606</v>
      </c>
      <c r="E380" s="44" t="s">
        <v>846</v>
      </c>
      <c r="F380" s="44" t="s">
        <v>892</v>
      </c>
      <c r="G380" s="44" t="s">
        <v>893</v>
      </c>
      <c r="H380" s="44"/>
      <c r="I380" s="44"/>
      <c r="J380" s="44"/>
      <c r="K380" s="44"/>
      <c r="L380" s="44"/>
      <c r="M380" s="276">
        <v>122.96</v>
      </c>
    </row>
    <row r="381" spans="1:13" outlineLevel="2" x14ac:dyDescent="0.25">
      <c r="A381" s="44" t="s">
        <v>183</v>
      </c>
      <c r="B381" s="274">
        <v>44498</v>
      </c>
      <c r="C381" s="44" t="s">
        <v>1036</v>
      </c>
      <c r="D381" s="275">
        <v>100004993</v>
      </c>
      <c r="E381" s="44" t="s">
        <v>994</v>
      </c>
      <c r="F381" s="44" t="s">
        <v>937</v>
      </c>
      <c r="G381" s="44"/>
      <c r="H381" s="44">
        <v>2221.4870999999998</v>
      </c>
      <c r="I381" s="44">
        <v>0</v>
      </c>
      <c r="J381" s="44">
        <v>0</v>
      </c>
      <c r="K381" s="44">
        <v>1</v>
      </c>
      <c r="L381" s="277">
        <v>13500</v>
      </c>
      <c r="M381" s="269">
        <f>L381-(H381+I381+J381)*K381</f>
        <v>11278.5129</v>
      </c>
    </row>
    <row r="382" spans="1:13" outlineLevel="1" x14ac:dyDescent="0.25">
      <c r="A382" s="286" t="s">
        <v>1066</v>
      </c>
      <c r="B382" s="738"/>
      <c r="C382" s="739"/>
      <c r="D382" s="739"/>
      <c r="E382" s="739"/>
      <c r="F382" s="739"/>
      <c r="G382" s="740"/>
      <c r="H382" s="287"/>
      <c r="I382" s="287"/>
      <c r="J382" s="287"/>
      <c r="K382" s="287"/>
      <c r="L382" s="289"/>
      <c r="M382" s="288">
        <f>SUBTOTAL(9,M373:M381)</f>
        <v>64885.322899999999</v>
      </c>
    </row>
    <row r="383" spans="1:13" ht="30" outlineLevel="2" x14ac:dyDescent="0.25">
      <c r="A383" s="44" t="s">
        <v>471</v>
      </c>
      <c r="B383" s="274">
        <v>44473</v>
      </c>
      <c r="C383" s="44" t="s">
        <v>1036</v>
      </c>
      <c r="D383" s="275">
        <v>100004936</v>
      </c>
      <c r="E383" s="44" t="s">
        <v>946</v>
      </c>
      <c r="F383" s="44" t="s">
        <v>947</v>
      </c>
      <c r="G383" s="44" t="s">
        <v>948</v>
      </c>
      <c r="H383" s="44">
        <v>0</v>
      </c>
      <c r="I383" s="44">
        <v>0</v>
      </c>
      <c r="J383" s="44">
        <v>0</v>
      </c>
      <c r="K383" s="44">
        <v>1</v>
      </c>
      <c r="L383" s="44">
        <v>100</v>
      </c>
      <c r="M383" s="269">
        <f>L383-(H383+I383+J383)*K383</f>
        <v>100</v>
      </c>
    </row>
    <row r="384" spans="1:13" outlineLevel="1" x14ac:dyDescent="0.25">
      <c r="A384" s="286" t="s">
        <v>1067</v>
      </c>
      <c r="B384" s="738"/>
      <c r="C384" s="739"/>
      <c r="D384" s="739"/>
      <c r="E384" s="739"/>
      <c r="F384" s="739"/>
      <c r="G384" s="740"/>
      <c r="H384" s="287"/>
      <c r="I384" s="287"/>
      <c r="J384" s="287"/>
      <c r="K384" s="287"/>
      <c r="L384" s="287"/>
      <c r="M384" s="288">
        <f>SUBTOTAL(9,M383:M383)</f>
        <v>100</v>
      </c>
    </row>
    <row r="385" spans="1:13" outlineLevel="2" x14ac:dyDescent="0.25">
      <c r="A385" s="44" t="s">
        <v>49</v>
      </c>
      <c r="B385" s="274">
        <v>44474</v>
      </c>
      <c r="C385" s="44" t="s">
        <v>1034</v>
      </c>
      <c r="D385" s="275">
        <v>200000058</v>
      </c>
      <c r="E385" s="44" t="s">
        <v>733</v>
      </c>
      <c r="F385" s="44" t="s">
        <v>738</v>
      </c>
      <c r="G385" s="44"/>
      <c r="H385" s="44"/>
      <c r="I385" s="44"/>
      <c r="J385" s="44"/>
      <c r="K385" s="44"/>
      <c r="L385" s="44"/>
      <c r="M385" s="276">
        <v>1300</v>
      </c>
    </row>
    <row r="386" spans="1:13" outlineLevel="2" x14ac:dyDescent="0.25">
      <c r="A386" s="44" t="s">
        <v>49</v>
      </c>
      <c r="B386" s="274">
        <v>44496</v>
      </c>
      <c r="C386" s="44" t="s">
        <v>1034</v>
      </c>
      <c r="D386" s="275">
        <v>300000103</v>
      </c>
      <c r="E386" s="44" t="s">
        <v>728</v>
      </c>
      <c r="F386" s="44" t="s">
        <v>788</v>
      </c>
      <c r="G386" s="44"/>
      <c r="H386" s="44"/>
      <c r="I386" s="44"/>
      <c r="J386" s="44"/>
      <c r="K386" s="44"/>
      <c r="L386" s="44"/>
      <c r="M386" s="276">
        <v>916.53</v>
      </c>
    </row>
    <row r="387" spans="1:13" outlineLevel="2" x14ac:dyDescent="0.25">
      <c r="A387" s="44" t="s">
        <v>49</v>
      </c>
      <c r="B387" s="274">
        <v>44475</v>
      </c>
      <c r="C387" s="44" t="s">
        <v>1032</v>
      </c>
      <c r="D387" s="275">
        <v>6551</v>
      </c>
      <c r="E387" s="44" t="s">
        <v>846</v>
      </c>
      <c r="F387" s="44" t="s">
        <v>875</v>
      </c>
      <c r="G387" s="44" t="s">
        <v>898</v>
      </c>
      <c r="H387" s="44"/>
      <c r="I387" s="44"/>
      <c r="J387" s="44"/>
      <c r="K387" s="44"/>
      <c r="L387" s="44"/>
      <c r="M387" s="276">
        <v>144.68</v>
      </c>
    </row>
    <row r="388" spans="1:13" outlineLevel="2" x14ac:dyDescent="0.25">
      <c r="A388" s="44" t="s">
        <v>49</v>
      </c>
      <c r="B388" s="274">
        <v>44490</v>
      </c>
      <c r="C388" s="44" t="s">
        <v>1032</v>
      </c>
      <c r="D388" s="275">
        <v>6599</v>
      </c>
      <c r="E388" s="44" t="s">
        <v>846</v>
      </c>
      <c r="F388" s="44" t="s">
        <v>899</v>
      </c>
      <c r="G388" s="44" t="s">
        <v>900</v>
      </c>
      <c r="H388" s="44"/>
      <c r="I388" s="44"/>
      <c r="J388" s="44"/>
      <c r="K388" s="44"/>
      <c r="L388" s="44"/>
      <c r="M388" s="276">
        <v>151.11000000000001</v>
      </c>
    </row>
    <row r="389" spans="1:13" ht="30" outlineLevel="2" x14ac:dyDescent="0.25">
      <c r="A389" s="44" t="s">
        <v>49</v>
      </c>
      <c r="B389" s="274">
        <v>44473</v>
      </c>
      <c r="C389" s="44" t="s">
        <v>1036</v>
      </c>
      <c r="D389" s="275">
        <v>100004936</v>
      </c>
      <c r="E389" s="44" t="s">
        <v>946</v>
      </c>
      <c r="F389" s="44" t="s">
        <v>947</v>
      </c>
      <c r="G389" s="44" t="s">
        <v>948</v>
      </c>
      <c r="H389" s="44">
        <v>0</v>
      </c>
      <c r="I389" s="44">
        <v>0</v>
      </c>
      <c r="J389" s="44">
        <v>0</v>
      </c>
      <c r="K389" s="44">
        <v>1</v>
      </c>
      <c r="L389" s="44">
        <v>100</v>
      </c>
      <c r="M389" s="269">
        <f>L389-(H389+I389+J389)*K389</f>
        <v>100</v>
      </c>
    </row>
    <row r="390" spans="1:13" outlineLevel="1" x14ac:dyDescent="0.25">
      <c r="A390" s="286" t="s">
        <v>1068</v>
      </c>
      <c r="B390" s="738"/>
      <c r="C390" s="739"/>
      <c r="D390" s="739"/>
      <c r="E390" s="739"/>
      <c r="F390" s="739"/>
      <c r="G390" s="740"/>
      <c r="H390" s="287"/>
      <c r="I390" s="287"/>
      <c r="J390" s="287"/>
      <c r="K390" s="287"/>
      <c r="L390" s="287"/>
      <c r="M390" s="288">
        <f>SUBTOTAL(9,M385:M389)</f>
        <v>2612.3199999999997</v>
      </c>
    </row>
    <row r="391" spans="1:13" outlineLevel="2" x14ac:dyDescent="0.25">
      <c r="A391" s="44" t="s">
        <v>253</v>
      </c>
      <c r="B391" s="274">
        <v>44474</v>
      </c>
      <c r="C391" s="44" t="s">
        <v>1034</v>
      </c>
      <c r="D391" s="275">
        <v>200000058</v>
      </c>
      <c r="E391" s="44" t="s">
        <v>733</v>
      </c>
      <c r="F391" s="44" t="s">
        <v>746</v>
      </c>
      <c r="G391" s="44"/>
      <c r="H391" s="44"/>
      <c r="I391" s="44"/>
      <c r="J391" s="44"/>
      <c r="K391" s="44"/>
      <c r="L391" s="44"/>
      <c r="M391" s="276">
        <v>1300</v>
      </c>
    </row>
    <row r="392" spans="1:13" outlineLevel="2" x14ac:dyDescent="0.25">
      <c r="A392" s="44" t="s">
        <v>253</v>
      </c>
      <c r="B392" s="274">
        <v>44474</v>
      </c>
      <c r="C392" s="44" t="s">
        <v>1034</v>
      </c>
      <c r="D392" s="275">
        <v>200000058</v>
      </c>
      <c r="E392" s="44" t="s">
        <v>733</v>
      </c>
      <c r="F392" s="44" t="s">
        <v>789</v>
      </c>
      <c r="G392" s="44"/>
      <c r="H392" s="44"/>
      <c r="I392" s="44"/>
      <c r="J392" s="44"/>
      <c r="K392" s="44"/>
      <c r="L392" s="44"/>
      <c r="M392" s="276">
        <v>700</v>
      </c>
    </row>
    <row r="393" spans="1:13" outlineLevel="2" x14ac:dyDescent="0.25">
      <c r="A393" s="44" t="s">
        <v>253</v>
      </c>
      <c r="B393" s="274">
        <v>44483</v>
      </c>
      <c r="C393" s="44" t="s">
        <v>1032</v>
      </c>
      <c r="D393" s="275">
        <v>6573</v>
      </c>
      <c r="E393" s="44" t="s">
        <v>846</v>
      </c>
      <c r="F393" s="44" t="s">
        <v>213</v>
      </c>
      <c r="G393" s="44" t="s">
        <v>864</v>
      </c>
      <c r="H393" s="44"/>
      <c r="I393" s="44"/>
      <c r="J393" s="44"/>
      <c r="K393" s="44"/>
      <c r="L393" s="44"/>
      <c r="M393" s="276">
        <v>72.98</v>
      </c>
    </row>
    <row r="394" spans="1:13" outlineLevel="2" x14ac:dyDescent="0.25">
      <c r="A394" s="44" t="s">
        <v>253</v>
      </c>
      <c r="B394" s="274">
        <v>44483</v>
      </c>
      <c r="C394" s="44" t="s">
        <v>1032</v>
      </c>
      <c r="D394" s="275">
        <v>6573</v>
      </c>
      <c r="E394" s="44" t="s">
        <v>846</v>
      </c>
      <c r="F394" s="44" t="s">
        <v>863</v>
      </c>
      <c r="G394" s="44">
        <v>72328</v>
      </c>
      <c r="H394" s="44"/>
      <c r="I394" s="44"/>
      <c r="J394" s="44"/>
      <c r="K394" s="44"/>
      <c r="L394" s="44"/>
      <c r="M394" s="276">
        <v>361.62</v>
      </c>
    </row>
    <row r="395" spans="1:13" outlineLevel="2" x14ac:dyDescent="0.25">
      <c r="A395" s="44" t="s">
        <v>253</v>
      </c>
      <c r="B395" s="274">
        <v>44483</v>
      </c>
      <c r="C395" s="44" t="s">
        <v>1032</v>
      </c>
      <c r="D395" s="275">
        <v>6573</v>
      </c>
      <c r="E395" s="44" t="s">
        <v>846</v>
      </c>
      <c r="F395" s="44" t="s">
        <v>899</v>
      </c>
      <c r="G395" s="44" t="s">
        <v>900</v>
      </c>
      <c r="H395" s="44"/>
      <c r="I395" s="44"/>
      <c r="J395" s="44"/>
      <c r="K395" s="44"/>
      <c r="L395" s="44"/>
      <c r="M395" s="276">
        <v>151.11000000000001</v>
      </c>
    </row>
    <row r="396" spans="1:13" outlineLevel="1" x14ac:dyDescent="0.25">
      <c r="A396" s="286" t="s">
        <v>1069</v>
      </c>
      <c r="B396" s="738"/>
      <c r="C396" s="739"/>
      <c r="D396" s="739"/>
      <c r="E396" s="739"/>
      <c r="F396" s="739"/>
      <c r="G396" s="740"/>
      <c r="H396" s="287"/>
      <c r="I396" s="287"/>
      <c r="J396" s="287"/>
      <c r="K396" s="287"/>
      <c r="L396" s="287"/>
      <c r="M396" s="288">
        <f>SUBTOTAL(9,M391:M395)</f>
        <v>2585.71</v>
      </c>
    </row>
    <row r="397" spans="1:13" outlineLevel="2" x14ac:dyDescent="0.25">
      <c r="A397" s="44" t="s">
        <v>228</v>
      </c>
      <c r="B397" s="274">
        <v>44470</v>
      </c>
      <c r="C397" s="44" t="s">
        <v>1034</v>
      </c>
      <c r="D397" s="275">
        <v>500033638</v>
      </c>
      <c r="E397" s="44" t="s">
        <v>713</v>
      </c>
      <c r="F397" s="44" t="s">
        <v>714</v>
      </c>
      <c r="G397" s="44"/>
      <c r="H397" s="44"/>
      <c r="I397" s="44"/>
      <c r="J397" s="44"/>
      <c r="K397" s="44"/>
      <c r="L397" s="44"/>
      <c r="M397" s="276">
        <v>1791.53</v>
      </c>
    </row>
    <row r="398" spans="1:13" outlineLevel="2" x14ac:dyDescent="0.25">
      <c r="A398" s="44" t="s">
        <v>228</v>
      </c>
      <c r="B398" s="274">
        <v>44470</v>
      </c>
      <c r="C398" s="44" t="s">
        <v>1034</v>
      </c>
      <c r="D398" s="275">
        <v>10400572393</v>
      </c>
      <c r="E398" s="44" t="s">
        <v>716</v>
      </c>
      <c r="F398" s="44" t="s">
        <v>717</v>
      </c>
      <c r="G398" s="44"/>
      <c r="H398" s="44"/>
      <c r="I398" s="44"/>
      <c r="J398" s="44"/>
      <c r="K398" s="44"/>
      <c r="L398" s="44"/>
      <c r="M398" s="276">
        <v>471.07</v>
      </c>
    </row>
    <row r="399" spans="1:13" outlineLevel="2" x14ac:dyDescent="0.25">
      <c r="A399" s="44" t="s">
        <v>228</v>
      </c>
      <c r="B399" s="274">
        <v>44470</v>
      </c>
      <c r="C399" s="44" t="s">
        <v>1034</v>
      </c>
      <c r="D399" s="275">
        <v>10400578195</v>
      </c>
      <c r="E399" s="44" t="s">
        <v>716</v>
      </c>
      <c r="F399" s="44" t="s">
        <v>717</v>
      </c>
      <c r="G399" s="44"/>
      <c r="H399" s="44"/>
      <c r="I399" s="44"/>
      <c r="J399" s="44"/>
      <c r="K399" s="44"/>
      <c r="L399" s="44"/>
      <c r="M399" s="276">
        <v>3411.65</v>
      </c>
    </row>
    <row r="400" spans="1:13" outlineLevel="2" x14ac:dyDescent="0.25">
      <c r="A400" s="44" t="s">
        <v>228</v>
      </c>
      <c r="B400" s="274">
        <v>44470</v>
      </c>
      <c r="C400" s="44" t="s">
        <v>1034</v>
      </c>
      <c r="D400" s="275">
        <v>60000274229</v>
      </c>
      <c r="E400" s="44" t="s">
        <v>718</v>
      </c>
      <c r="F400" s="44" t="s">
        <v>717</v>
      </c>
      <c r="G400" s="44"/>
      <c r="H400" s="44"/>
      <c r="I400" s="44"/>
      <c r="J400" s="44"/>
      <c r="K400" s="44"/>
      <c r="L400" s="44"/>
      <c r="M400" s="276">
        <v>2757.92</v>
      </c>
    </row>
    <row r="401" spans="1:13" outlineLevel="2" x14ac:dyDescent="0.25">
      <c r="A401" s="44" t="s">
        <v>228</v>
      </c>
      <c r="B401" s="274">
        <v>44470</v>
      </c>
      <c r="C401" s="44" t="s">
        <v>1034</v>
      </c>
      <c r="D401" s="275">
        <v>60000285996</v>
      </c>
      <c r="E401" s="44" t="s">
        <v>718</v>
      </c>
      <c r="F401" s="44" t="s">
        <v>717</v>
      </c>
      <c r="G401" s="44"/>
      <c r="H401" s="44"/>
      <c r="I401" s="44"/>
      <c r="J401" s="44"/>
      <c r="K401" s="44"/>
      <c r="L401" s="44"/>
      <c r="M401" s="276">
        <v>1750.06</v>
      </c>
    </row>
    <row r="402" spans="1:13" ht="30" outlineLevel="2" x14ac:dyDescent="0.25">
      <c r="A402" s="44" t="s">
        <v>228</v>
      </c>
      <c r="B402" s="274">
        <v>44473</v>
      </c>
      <c r="C402" s="44" t="s">
        <v>1034</v>
      </c>
      <c r="D402" s="275">
        <v>6100301594</v>
      </c>
      <c r="E402" s="44" t="s">
        <v>730</v>
      </c>
      <c r="F402" s="44" t="s">
        <v>717</v>
      </c>
      <c r="G402" s="44"/>
      <c r="H402" s="44"/>
      <c r="I402" s="44"/>
      <c r="J402" s="44"/>
      <c r="K402" s="44"/>
      <c r="L402" s="44"/>
      <c r="M402" s="276">
        <v>686</v>
      </c>
    </row>
    <row r="403" spans="1:13" outlineLevel="2" x14ac:dyDescent="0.25">
      <c r="A403" s="44" t="s">
        <v>228</v>
      </c>
      <c r="B403" s="274">
        <v>44474</v>
      </c>
      <c r="C403" s="44" t="s">
        <v>1034</v>
      </c>
      <c r="D403" s="275">
        <v>200000058</v>
      </c>
      <c r="E403" s="44" t="s">
        <v>733</v>
      </c>
      <c r="F403" s="44" t="s">
        <v>752</v>
      </c>
      <c r="G403" s="44"/>
      <c r="H403" s="44"/>
      <c r="I403" s="44"/>
      <c r="J403" s="44"/>
      <c r="K403" s="44"/>
      <c r="L403" s="44"/>
      <c r="M403" s="276">
        <v>3600</v>
      </c>
    </row>
    <row r="404" spans="1:13" outlineLevel="2" x14ac:dyDescent="0.25">
      <c r="A404" s="44" t="s">
        <v>228</v>
      </c>
      <c r="B404" s="274">
        <v>44474</v>
      </c>
      <c r="C404" s="44" t="s">
        <v>1034</v>
      </c>
      <c r="D404" s="275">
        <v>200000058</v>
      </c>
      <c r="E404" s="44" t="s">
        <v>733</v>
      </c>
      <c r="F404" s="44" t="s">
        <v>790</v>
      </c>
      <c r="G404" s="44"/>
      <c r="H404" s="44"/>
      <c r="I404" s="44"/>
      <c r="J404" s="44"/>
      <c r="K404" s="44"/>
      <c r="L404" s="44"/>
      <c r="M404" s="276">
        <v>700</v>
      </c>
    </row>
    <row r="405" spans="1:13" outlineLevel="2" x14ac:dyDescent="0.25">
      <c r="A405" s="44" t="s">
        <v>228</v>
      </c>
      <c r="B405" s="274">
        <v>44474</v>
      </c>
      <c r="C405" s="44" t="s">
        <v>1034</v>
      </c>
      <c r="D405" s="275">
        <v>200003020</v>
      </c>
      <c r="E405" s="44" t="s">
        <v>758</v>
      </c>
      <c r="F405" s="44" t="s">
        <v>791</v>
      </c>
      <c r="G405" s="44"/>
      <c r="H405" s="44"/>
      <c r="I405" s="44"/>
      <c r="J405" s="44"/>
      <c r="K405" s="44"/>
      <c r="L405" s="44"/>
      <c r="M405" s="276">
        <v>8000</v>
      </c>
    </row>
    <row r="406" spans="1:13" outlineLevel="2" x14ac:dyDescent="0.25">
      <c r="A406" s="44" t="s">
        <v>228</v>
      </c>
      <c r="B406" s="274">
        <v>44474</v>
      </c>
      <c r="C406" s="44" t="s">
        <v>1034</v>
      </c>
      <c r="D406" s="275">
        <v>200003020</v>
      </c>
      <c r="E406" s="44" t="s">
        <v>758</v>
      </c>
      <c r="F406" s="44" t="s">
        <v>792</v>
      </c>
      <c r="G406" s="44"/>
      <c r="H406" s="44"/>
      <c r="I406" s="44"/>
      <c r="J406" s="44"/>
      <c r="K406" s="44"/>
      <c r="L406" s="44"/>
      <c r="M406" s="276">
        <v>13500</v>
      </c>
    </row>
    <row r="407" spans="1:13" outlineLevel="2" x14ac:dyDescent="0.25">
      <c r="A407" s="44" t="s">
        <v>228</v>
      </c>
      <c r="B407" s="274">
        <v>44489</v>
      </c>
      <c r="C407" s="44" t="s">
        <v>1034</v>
      </c>
      <c r="D407" s="275">
        <v>50300370602</v>
      </c>
      <c r="E407" s="44" t="s">
        <v>741</v>
      </c>
      <c r="F407" s="44" t="s">
        <v>717</v>
      </c>
      <c r="G407" s="44"/>
      <c r="H407" s="44"/>
      <c r="I407" s="44"/>
      <c r="J407" s="44"/>
      <c r="K407" s="44"/>
      <c r="L407" s="44"/>
      <c r="M407" s="276">
        <v>247.27</v>
      </c>
    </row>
    <row r="408" spans="1:13" outlineLevel="2" x14ac:dyDescent="0.25">
      <c r="A408" s="44" t="s">
        <v>228</v>
      </c>
      <c r="B408" s="274">
        <v>44491</v>
      </c>
      <c r="C408" s="44" t="s">
        <v>1034</v>
      </c>
      <c r="D408" s="275">
        <v>10400676781</v>
      </c>
      <c r="E408" s="44" t="s">
        <v>716</v>
      </c>
      <c r="F408" s="44" t="s">
        <v>717</v>
      </c>
      <c r="G408" s="44"/>
      <c r="H408" s="44"/>
      <c r="I408" s="44"/>
      <c r="J408" s="44"/>
      <c r="K408" s="44"/>
      <c r="L408" s="44"/>
      <c r="M408" s="276">
        <v>574.38</v>
      </c>
    </row>
    <row r="409" spans="1:13" outlineLevel="2" x14ac:dyDescent="0.25">
      <c r="A409" s="44" t="s">
        <v>228</v>
      </c>
      <c r="B409" s="274">
        <v>44491</v>
      </c>
      <c r="C409" s="44" t="s">
        <v>1034</v>
      </c>
      <c r="D409" s="275">
        <v>10400701977</v>
      </c>
      <c r="E409" s="44" t="s">
        <v>716</v>
      </c>
      <c r="F409" s="44" t="s">
        <v>717</v>
      </c>
      <c r="G409" s="44"/>
      <c r="H409" s="44"/>
      <c r="I409" s="44"/>
      <c r="J409" s="44"/>
      <c r="K409" s="44"/>
      <c r="L409" s="44"/>
      <c r="M409" s="276">
        <v>3466.12</v>
      </c>
    </row>
    <row r="410" spans="1:13" outlineLevel="2" x14ac:dyDescent="0.25">
      <c r="A410" s="44" t="s">
        <v>228</v>
      </c>
      <c r="B410" s="274">
        <v>44496</v>
      </c>
      <c r="C410" s="44" t="s">
        <v>1034</v>
      </c>
      <c r="D410" s="275">
        <v>200025670</v>
      </c>
      <c r="E410" s="44" t="s">
        <v>748</v>
      </c>
      <c r="F410" s="44" t="s">
        <v>793</v>
      </c>
      <c r="G410" s="44"/>
      <c r="H410" s="44"/>
      <c r="I410" s="44"/>
      <c r="J410" s="44"/>
      <c r="K410" s="44"/>
      <c r="L410" s="44"/>
      <c r="M410" s="276">
        <v>258.61</v>
      </c>
    </row>
    <row r="411" spans="1:13" outlineLevel="2" x14ac:dyDescent="0.25">
      <c r="A411" s="44" t="s">
        <v>228</v>
      </c>
      <c r="B411" s="274">
        <v>44496</v>
      </c>
      <c r="C411" s="44" t="s">
        <v>1034</v>
      </c>
      <c r="D411" s="275">
        <v>300000103</v>
      </c>
      <c r="E411" s="44" t="s">
        <v>728</v>
      </c>
      <c r="F411" s="44" t="s">
        <v>794</v>
      </c>
      <c r="G411" s="44"/>
      <c r="H411" s="44"/>
      <c r="I411" s="44"/>
      <c r="J411" s="44"/>
      <c r="K411" s="44"/>
      <c r="L411" s="44"/>
      <c r="M411" s="276">
        <v>11570.25</v>
      </c>
    </row>
    <row r="412" spans="1:13" outlineLevel="2" x14ac:dyDescent="0.25">
      <c r="A412" s="44" t="s">
        <v>228</v>
      </c>
      <c r="B412" s="274">
        <v>44500</v>
      </c>
      <c r="C412" s="44" t="s">
        <v>1034</v>
      </c>
      <c r="D412" s="275">
        <v>60000298248</v>
      </c>
      <c r="E412" s="44" t="s">
        <v>718</v>
      </c>
      <c r="F412" s="44" t="s">
        <v>717</v>
      </c>
      <c r="G412" s="44"/>
      <c r="H412" s="44"/>
      <c r="I412" s="44"/>
      <c r="J412" s="44"/>
      <c r="K412" s="44"/>
      <c r="L412" s="44"/>
      <c r="M412" s="276">
        <v>3067.3</v>
      </c>
    </row>
    <row r="413" spans="1:13" outlineLevel="1" x14ac:dyDescent="0.25">
      <c r="A413" s="282" t="s">
        <v>649</v>
      </c>
      <c r="B413" s="741"/>
      <c r="C413" s="742"/>
      <c r="D413" s="742"/>
      <c r="E413" s="742"/>
      <c r="F413" s="742"/>
      <c r="G413" s="743"/>
      <c r="H413" s="283"/>
      <c r="I413" s="283"/>
      <c r="J413" s="283"/>
      <c r="K413" s="283"/>
      <c r="L413" s="283"/>
      <c r="M413" s="285">
        <f>SUBTOTAL(9,M397:M412)</f>
        <v>55852.159999999996</v>
      </c>
    </row>
    <row r="414" spans="1:13" outlineLevel="2" x14ac:dyDescent="0.25">
      <c r="A414" s="44" t="s">
        <v>225</v>
      </c>
      <c r="B414" s="274">
        <v>44471</v>
      </c>
      <c r="C414" s="44" t="s">
        <v>1032</v>
      </c>
      <c r="D414" s="275">
        <v>6531</v>
      </c>
      <c r="E414" s="44" t="s">
        <v>846</v>
      </c>
      <c r="F414" s="44" t="s">
        <v>867</v>
      </c>
      <c r="G414" s="44" t="s">
        <v>868</v>
      </c>
      <c r="H414" s="44"/>
      <c r="I414" s="44"/>
      <c r="J414" s="44"/>
      <c r="K414" s="44"/>
      <c r="L414" s="44"/>
      <c r="M414" s="276">
        <v>143.5</v>
      </c>
    </row>
    <row r="415" spans="1:13" outlineLevel="2" x14ac:dyDescent="0.25">
      <c r="A415" s="44" t="s">
        <v>225</v>
      </c>
      <c r="B415" s="274">
        <v>44471</v>
      </c>
      <c r="C415" s="44" t="s">
        <v>1032</v>
      </c>
      <c r="D415" s="275">
        <v>6531</v>
      </c>
      <c r="E415" s="44" t="s">
        <v>846</v>
      </c>
      <c r="F415" s="44" t="s">
        <v>899</v>
      </c>
      <c r="G415" s="44" t="s">
        <v>900</v>
      </c>
      <c r="H415" s="44"/>
      <c r="I415" s="44"/>
      <c r="J415" s="44"/>
      <c r="K415" s="44"/>
      <c r="L415" s="44"/>
      <c r="M415" s="276">
        <v>151.11000000000001</v>
      </c>
    </row>
    <row r="416" spans="1:13" ht="30" outlineLevel="2" x14ac:dyDescent="0.25">
      <c r="A416" s="44" t="s">
        <v>225</v>
      </c>
      <c r="B416" s="274">
        <v>44473</v>
      </c>
      <c r="C416" s="44" t="s">
        <v>1036</v>
      </c>
      <c r="D416" s="275">
        <v>100004936</v>
      </c>
      <c r="E416" s="44" t="s">
        <v>946</v>
      </c>
      <c r="F416" s="44" t="s">
        <v>947</v>
      </c>
      <c r="G416" s="44" t="s">
        <v>948</v>
      </c>
      <c r="H416" s="44">
        <v>0</v>
      </c>
      <c r="I416" s="44">
        <v>0</v>
      </c>
      <c r="J416" s="44">
        <v>0</v>
      </c>
      <c r="K416" s="44">
        <v>1</v>
      </c>
      <c r="L416" s="44">
        <v>100</v>
      </c>
      <c r="M416" s="269">
        <f>L416-(H416+I416+J416)*K416</f>
        <v>100</v>
      </c>
    </row>
    <row r="417" spans="1:13" outlineLevel="1" x14ac:dyDescent="0.25">
      <c r="A417" s="286" t="s">
        <v>1070</v>
      </c>
      <c r="B417" s="738"/>
      <c r="C417" s="739"/>
      <c r="D417" s="739"/>
      <c r="E417" s="739"/>
      <c r="F417" s="739"/>
      <c r="G417" s="740"/>
      <c r="H417" s="287"/>
      <c r="I417" s="287"/>
      <c r="J417" s="287"/>
      <c r="K417" s="287"/>
      <c r="L417" s="287"/>
      <c r="M417" s="288">
        <f>SUBTOTAL(9,M414:M416)</f>
        <v>394.61</v>
      </c>
    </row>
    <row r="418" spans="1:13" outlineLevel="2" x14ac:dyDescent="0.25">
      <c r="A418" s="44" t="s">
        <v>231</v>
      </c>
      <c r="B418" s="274">
        <v>44470</v>
      </c>
      <c r="C418" s="44" t="s">
        <v>1034</v>
      </c>
      <c r="D418" s="275">
        <v>10400520948</v>
      </c>
      <c r="E418" s="44" t="s">
        <v>716</v>
      </c>
      <c r="F418" s="44" t="s">
        <v>717</v>
      </c>
      <c r="G418" s="44"/>
      <c r="H418" s="44"/>
      <c r="I418" s="44"/>
      <c r="J418" s="44"/>
      <c r="K418" s="44"/>
      <c r="L418" s="44"/>
      <c r="M418" s="276">
        <v>545.45000000000005</v>
      </c>
    </row>
    <row r="419" spans="1:13" outlineLevel="2" x14ac:dyDescent="0.25">
      <c r="A419" s="44" t="s">
        <v>231</v>
      </c>
      <c r="B419" s="274">
        <v>44470</v>
      </c>
      <c r="C419" s="44" t="s">
        <v>1034</v>
      </c>
      <c r="D419" s="275">
        <v>10400560760</v>
      </c>
      <c r="E419" s="44" t="s">
        <v>716</v>
      </c>
      <c r="F419" s="44" t="s">
        <v>717</v>
      </c>
      <c r="G419" s="44"/>
      <c r="H419" s="44"/>
      <c r="I419" s="44"/>
      <c r="J419" s="44"/>
      <c r="K419" s="44"/>
      <c r="L419" s="44"/>
      <c r="M419" s="276">
        <v>2954.55</v>
      </c>
    </row>
    <row r="420" spans="1:13" outlineLevel="2" x14ac:dyDescent="0.25">
      <c r="A420" s="44" t="s">
        <v>231</v>
      </c>
      <c r="B420" s="274">
        <v>44470</v>
      </c>
      <c r="C420" s="44" t="s">
        <v>1034</v>
      </c>
      <c r="D420" s="275">
        <v>60000274229</v>
      </c>
      <c r="E420" s="44" t="s">
        <v>718</v>
      </c>
      <c r="F420" s="44" t="s">
        <v>717</v>
      </c>
      <c r="G420" s="44"/>
      <c r="H420" s="44"/>
      <c r="I420" s="44"/>
      <c r="J420" s="44"/>
      <c r="K420" s="44"/>
      <c r="L420" s="44"/>
      <c r="M420" s="276">
        <v>1707.65</v>
      </c>
    </row>
    <row r="421" spans="1:13" ht="30" outlineLevel="2" x14ac:dyDescent="0.25">
      <c r="A421" s="44" t="s">
        <v>231</v>
      </c>
      <c r="B421" s="274">
        <v>44470</v>
      </c>
      <c r="C421" s="44" t="s">
        <v>1034</v>
      </c>
      <c r="D421" s="275">
        <v>62902669209</v>
      </c>
      <c r="E421" s="44" t="s">
        <v>719</v>
      </c>
      <c r="F421" s="44" t="s">
        <v>717</v>
      </c>
      <c r="G421" s="44"/>
      <c r="H421" s="44"/>
      <c r="I421" s="44"/>
      <c r="J421" s="44"/>
      <c r="K421" s="44"/>
      <c r="L421" s="44"/>
      <c r="M421" s="276">
        <v>214.54</v>
      </c>
    </row>
    <row r="422" spans="1:13" outlineLevel="2" x14ac:dyDescent="0.25">
      <c r="A422" s="44" t="s">
        <v>231</v>
      </c>
      <c r="B422" s="274">
        <v>44470</v>
      </c>
      <c r="C422" s="44" t="s">
        <v>1034</v>
      </c>
      <c r="D422" s="275">
        <v>65100019280</v>
      </c>
      <c r="E422" s="44" t="s">
        <v>720</v>
      </c>
      <c r="F422" s="44" t="s">
        <v>721</v>
      </c>
      <c r="G422" s="44"/>
      <c r="H422" s="44"/>
      <c r="I422" s="44"/>
      <c r="J422" s="44"/>
      <c r="K422" s="44"/>
      <c r="L422" s="44"/>
      <c r="M422" s="276">
        <v>1922</v>
      </c>
    </row>
    <row r="423" spans="1:13" outlineLevel="2" x14ac:dyDescent="0.25">
      <c r="A423" s="44" t="s">
        <v>231</v>
      </c>
      <c r="B423" s="274">
        <v>44470</v>
      </c>
      <c r="C423" s="44" t="s">
        <v>1034</v>
      </c>
      <c r="D423" s="275">
        <v>65100019280</v>
      </c>
      <c r="E423" s="44" t="s">
        <v>720</v>
      </c>
      <c r="F423" s="44" t="s">
        <v>722</v>
      </c>
      <c r="G423" s="44"/>
      <c r="H423" s="44"/>
      <c r="I423" s="44"/>
      <c r="J423" s="44"/>
      <c r="K423" s="44"/>
      <c r="L423" s="44"/>
      <c r="M423" s="276">
        <v>272</v>
      </c>
    </row>
    <row r="424" spans="1:13" ht="30" outlineLevel="2" x14ac:dyDescent="0.25">
      <c r="A424" s="44" t="s">
        <v>231</v>
      </c>
      <c r="B424" s="274">
        <v>44473</v>
      </c>
      <c r="C424" s="44" t="s">
        <v>1034</v>
      </c>
      <c r="D424" s="275">
        <v>6100301594</v>
      </c>
      <c r="E424" s="44" t="s">
        <v>730</v>
      </c>
      <c r="F424" s="44" t="s">
        <v>717</v>
      </c>
      <c r="G424" s="44"/>
      <c r="H424" s="44"/>
      <c r="I424" s="44"/>
      <c r="J424" s="44"/>
      <c r="K424" s="44"/>
      <c r="L424" s="44"/>
      <c r="M424" s="276">
        <v>686</v>
      </c>
    </row>
    <row r="425" spans="1:13" outlineLevel="2" x14ac:dyDescent="0.25">
      <c r="A425" s="44" t="s">
        <v>231</v>
      </c>
      <c r="B425" s="274">
        <v>44476</v>
      </c>
      <c r="C425" s="44" t="s">
        <v>1034</v>
      </c>
      <c r="D425" s="275">
        <v>51100006984</v>
      </c>
      <c r="E425" s="44" t="s">
        <v>795</v>
      </c>
      <c r="F425" s="44" t="s">
        <v>796</v>
      </c>
      <c r="G425" s="44"/>
      <c r="H425" s="44"/>
      <c r="I425" s="44"/>
      <c r="J425" s="44"/>
      <c r="K425" s="44"/>
      <c r="L425" s="44"/>
      <c r="M425" s="276">
        <v>341.64</v>
      </c>
    </row>
    <row r="426" spans="1:13" outlineLevel="2" x14ac:dyDescent="0.25">
      <c r="A426" s="44" t="s">
        <v>231</v>
      </c>
      <c r="B426" s="274">
        <v>44476</v>
      </c>
      <c r="C426" s="44" t="s">
        <v>1034</v>
      </c>
      <c r="D426" s="275">
        <v>51100006984</v>
      </c>
      <c r="E426" s="44" t="s">
        <v>795</v>
      </c>
      <c r="F426" s="44" t="s">
        <v>797</v>
      </c>
      <c r="G426" s="44"/>
      <c r="H426" s="44"/>
      <c r="I426" s="44"/>
      <c r="J426" s="44"/>
      <c r="K426" s="44"/>
      <c r="L426" s="44"/>
      <c r="M426" s="276">
        <v>10016.19</v>
      </c>
    </row>
    <row r="427" spans="1:13" outlineLevel="2" x14ac:dyDescent="0.25">
      <c r="A427" s="44" t="s">
        <v>231</v>
      </c>
      <c r="B427" s="274">
        <v>44476</v>
      </c>
      <c r="C427" s="44" t="s">
        <v>1034</v>
      </c>
      <c r="D427" s="275">
        <v>51100006984</v>
      </c>
      <c r="E427" s="44" t="s">
        <v>795</v>
      </c>
      <c r="F427" s="44" t="s">
        <v>798</v>
      </c>
      <c r="G427" s="44"/>
      <c r="H427" s="44"/>
      <c r="I427" s="44"/>
      <c r="J427" s="44"/>
      <c r="K427" s="44"/>
      <c r="L427" s="44"/>
      <c r="M427" s="276">
        <v>482.84</v>
      </c>
    </row>
    <row r="428" spans="1:13" outlineLevel="2" x14ac:dyDescent="0.25">
      <c r="A428" s="44" t="s">
        <v>231</v>
      </c>
      <c r="B428" s="274">
        <v>44476</v>
      </c>
      <c r="C428" s="44" t="s">
        <v>1034</v>
      </c>
      <c r="D428" s="275">
        <v>51100006984</v>
      </c>
      <c r="E428" s="44" t="s">
        <v>795</v>
      </c>
      <c r="F428" s="44" t="s">
        <v>799</v>
      </c>
      <c r="G428" s="44"/>
      <c r="H428" s="44"/>
      <c r="I428" s="44"/>
      <c r="J428" s="44"/>
      <c r="K428" s="44"/>
      <c r="L428" s="44"/>
      <c r="M428" s="276">
        <v>2410.2399999999998</v>
      </c>
    </row>
    <row r="429" spans="1:13" outlineLevel="2" x14ac:dyDescent="0.25">
      <c r="A429" s="44" t="s">
        <v>231</v>
      </c>
      <c r="B429" s="274">
        <v>44487</v>
      </c>
      <c r="C429" s="44" t="s">
        <v>1034</v>
      </c>
      <c r="D429" s="275">
        <v>500000703</v>
      </c>
      <c r="E429" s="44" t="s">
        <v>800</v>
      </c>
      <c r="F429" s="44" t="s">
        <v>801</v>
      </c>
      <c r="G429" s="44"/>
      <c r="H429" s="44"/>
      <c r="I429" s="44"/>
      <c r="J429" s="44"/>
      <c r="K429" s="44"/>
      <c r="L429" s="44"/>
      <c r="M429" s="276">
        <v>20661.16</v>
      </c>
    </row>
    <row r="430" spans="1:13" outlineLevel="2" x14ac:dyDescent="0.25">
      <c r="A430" s="44" t="s">
        <v>231</v>
      </c>
      <c r="B430" s="274">
        <v>44491</v>
      </c>
      <c r="C430" s="44" t="s">
        <v>1034</v>
      </c>
      <c r="D430" s="275">
        <v>10400638511</v>
      </c>
      <c r="E430" s="44" t="s">
        <v>716</v>
      </c>
      <c r="F430" s="44" t="s">
        <v>717</v>
      </c>
      <c r="G430" s="44"/>
      <c r="H430" s="44"/>
      <c r="I430" s="44"/>
      <c r="J430" s="44"/>
      <c r="K430" s="44"/>
      <c r="L430" s="44"/>
      <c r="M430" s="276">
        <v>400.83</v>
      </c>
    </row>
    <row r="431" spans="1:13" outlineLevel="2" x14ac:dyDescent="0.25">
      <c r="A431" s="44" t="s">
        <v>231</v>
      </c>
      <c r="B431" s="274">
        <v>44491</v>
      </c>
      <c r="C431" s="44" t="s">
        <v>1034</v>
      </c>
      <c r="D431" s="275">
        <v>10400676781</v>
      </c>
      <c r="E431" s="44" t="s">
        <v>716</v>
      </c>
      <c r="F431" s="44" t="s">
        <v>717</v>
      </c>
      <c r="G431" s="44"/>
      <c r="H431" s="44"/>
      <c r="I431" s="44"/>
      <c r="J431" s="44"/>
      <c r="K431" s="44"/>
      <c r="L431" s="44"/>
      <c r="M431" s="276">
        <v>381.82</v>
      </c>
    </row>
    <row r="432" spans="1:13" outlineLevel="2" x14ac:dyDescent="0.25">
      <c r="A432" s="44" t="s">
        <v>231</v>
      </c>
      <c r="B432" s="274">
        <v>44491</v>
      </c>
      <c r="C432" s="44" t="s">
        <v>1034</v>
      </c>
      <c r="D432" s="275">
        <v>10400754323</v>
      </c>
      <c r="E432" s="44" t="s">
        <v>716</v>
      </c>
      <c r="F432" s="44" t="s">
        <v>717</v>
      </c>
      <c r="G432" s="44"/>
      <c r="H432" s="44"/>
      <c r="I432" s="44"/>
      <c r="J432" s="44"/>
      <c r="K432" s="44"/>
      <c r="L432" s="44"/>
      <c r="M432" s="276">
        <v>1847.11</v>
      </c>
    </row>
    <row r="433" spans="1:13" outlineLevel="2" x14ac:dyDescent="0.25">
      <c r="A433" s="44" t="s">
        <v>231</v>
      </c>
      <c r="B433" s="274">
        <v>44496</v>
      </c>
      <c r="C433" s="44" t="s">
        <v>1034</v>
      </c>
      <c r="D433" s="275">
        <v>65100019922</v>
      </c>
      <c r="E433" s="44" t="s">
        <v>720</v>
      </c>
      <c r="F433" s="44" t="s">
        <v>726</v>
      </c>
      <c r="G433" s="44"/>
      <c r="H433" s="44"/>
      <c r="I433" s="44"/>
      <c r="J433" s="44"/>
      <c r="K433" s="44"/>
      <c r="L433" s="44"/>
      <c r="M433" s="276">
        <v>1922</v>
      </c>
    </row>
    <row r="434" spans="1:13" outlineLevel="2" x14ac:dyDescent="0.25">
      <c r="A434" s="44" t="s">
        <v>231</v>
      </c>
      <c r="B434" s="274">
        <v>44496</v>
      </c>
      <c r="C434" s="44" t="s">
        <v>1034</v>
      </c>
      <c r="D434" s="275">
        <v>65100019922</v>
      </c>
      <c r="E434" s="44" t="s">
        <v>720</v>
      </c>
      <c r="F434" s="44" t="s">
        <v>727</v>
      </c>
      <c r="G434" s="44"/>
      <c r="H434" s="44"/>
      <c r="I434" s="44"/>
      <c r="J434" s="44"/>
      <c r="K434" s="44"/>
      <c r="L434" s="44"/>
      <c r="M434" s="276">
        <v>272</v>
      </c>
    </row>
    <row r="435" spans="1:13" ht="30" outlineLevel="2" x14ac:dyDescent="0.25">
      <c r="A435" s="44" t="s">
        <v>231</v>
      </c>
      <c r="B435" s="274">
        <v>44483</v>
      </c>
      <c r="C435" s="44" t="s">
        <v>1036</v>
      </c>
      <c r="D435" s="275">
        <v>100004948</v>
      </c>
      <c r="E435" s="44" t="s">
        <v>989</v>
      </c>
      <c r="F435" s="44" t="s">
        <v>953</v>
      </c>
      <c r="G435" s="44" t="s">
        <v>995</v>
      </c>
      <c r="H435" s="44">
        <v>0</v>
      </c>
      <c r="I435" s="44">
        <v>0</v>
      </c>
      <c r="J435" s="44">
        <v>0</v>
      </c>
      <c r="K435" s="44">
        <v>1</v>
      </c>
      <c r="L435" s="44">
        <v>600</v>
      </c>
      <c r="M435" s="269">
        <f t="shared" ref="M435:M441" si="5">L435-(H435+I435+J435)*K435</f>
        <v>600</v>
      </c>
    </row>
    <row r="436" spans="1:13" outlineLevel="2" x14ac:dyDescent="0.25">
      <c r="A436" s="44" t="s">
        <v>231</v>
      </c>
      <c r="B436" s="274">
        <v>44483</v>
      </c>
      <c r="C436" s="44" t="s">
        <v>1036</v>
      </c>
      <c r="D436" s="275">
        <v>100004948</v>
      </c>
      <c r="E436" s="44" t="s">
        <v>716</v>
      </c>
      <c r="F436" s="44" t="s">
        <v>717</v>
      </c>
      <c r="G436" s="44" t="s">
        <v>995</v>
      </c>
      <c r="H436" s="44">
        <v>150.12479999999999</v>
      </c>
      <c r="I436" s="44">
        <v>0</v>
      </c>
      <c r="J436" s="44">
        <v>0</v>
      </c>
      <c r="K436" s="44">
        <v>1</v>
      </c>
      <c r="L436" s="44">
        <v>865</v>
      </c>
      <c r="M436" s="269">
        <f t="shared" si="5"/>
        <v>714.87519999999995</v>
      </c>
    </row>
    <row r="437" spans="1:13" ht="30" outlineLevel="2" x14ac:dyDescent="0.25">
      <c r="A437" s="44" t="s">
        <v>231</v>
      </c>
      <c r="B437" s="274">
        <v>44483</v>
      </c>
      <c r="C437" s="44" t="s">
        <v>1036</v>
      </c>
      <c r="D437" s="275">
        <v>100004948</v>
      </c>
      <c r="E437" s="44" t="s">
        <v>915</v>
      </c>
      <c r="F437" s="44" t="s">
        <v>717</v>
      </c>
      <c r="G437" s="44" t="s">
        <v>995</v>
      </c>
      <c r="H437" s="44">
        <v>260.33069999999998</v>
      </c>
      <c r="I437" s="44">
        <v>0</v>
      </c>
      <c r="J437" s="44">
        <v>0</v>
      </c>
      <c r="K437" s="44">
        <v>1</v>
      </c>
      <c r="L437" s="277">
        <v>1800</v>
      </c>
      <c r="M437" s="269">
        <f t="shared" si="5"/>
        <v>1539.6693</v>
      </c>
    </row>
    <row r="438" spans="1:13" outlineLevel="2" x14ac:dyDescent="0.25">
      <c r="A438" s="44" t="s">
        <v>231</v>
      </c>
      <c r="B438" s="274">
        <v>44483</v>
      </c>
      <c r="C438" s="44" t="s">
        <v>1036</v>
      </c>
      <c r="D438" s="275">
        <v>100004948</v>
      </c>
      <c r="E438" s="44" t="s">
        <v>996</v>
      </c>
      <c r="F438" s="44" t="s">
        <v>917</v>
      </c>
      <c r="G438" s="44" t="s">
        <v>995</v>
      </c>
      <c r="H438" s="44">
        <v>0</v>
      </c>
      <c r="I438" s="44">
        <v>0</v>
      </c>
      <c r="J438" s="44">
        <v>0</v>
      </c>
      <c r="K438" s="44">
        <v>1</v>
      </c>
      <c r="L438" s="44">
        <v>610</v>
      </c>
      <c r="M438" s="269">
        <f t="shared" si="5"/>
        <v>610</v>
      </c>
    </row>
    <row r="439" spans="1:13" outlineLevel="2" x14ac:dyDescent="0.25">
      <c r="A439" s="44" t="s">
        <v>231</v>
      </c>
      <c r="B439" s="274">
        <v>44490</v>
      </c>
      <c r="C439" s="44" t="s">
        <v>1036</v>
      </c>
      <c r="D439" s="275">
        <v>100004963</v>
      </c>
      <c r="E439" s="44" t="s">
        <v>716</v>
      </c>
      <c r="F439" s="44" t="s">
        <v>717</v>
      </c>
      <c r="G439" s="44" t="s">
        <v>995</v>
      </c>
      <c r="H439" s="44">
        <v>177.02475000000001</v>
      </c>
      <c r="I439" s="44">
        <v>0</v>
      </c>
      <c r="J439" s="44">
        <v>0</v>
      </c>
      <c r="K439" s="44">
        <v>1</v>
      </c>
      <c r="L439" s="277">
        <v>1020</v>
      </c>
      <c r="M439" s="269">
        <f t="shared" si="5"/>
        <v>842.97524999999996</v>
      </c>
    </row>
    <row r="440" spans="1:13" ht="30" outlineLevel="2" x14ac:dyDescent="0.25">
      <c r="A440" s="44" t="s">
        <v>231</v>
      </c>
      <c r="B440" s="274">
        <v>44490</v>
      </c>
      <c r="C440" s="44" t="s">
        <v>1036</v>
      </c>
      <c r="D440" s="275">
        <v>100004963</v>
      </c>
      <c r="E440" s="44" t="s">
        <v>915</v>
      </c>
      <c r="F440" s="44" t="s">
        <v>717</v>
      </c>
      <c r="G440" s="44" t="s">
        <v>995</v>
      </c>
      <c r="H440" s="44">
        <v>303.71879999999999</v>
      </c>
      <c r="I440" s="44">
        <v>0</v>
      </c>
      <c r="J440" s="44">
        <v>0</v>
      </c>
      <c r="K440" s="44">
        <v>1</v>
      </c>
      <c r="L440" s="277">
        <v>2350</v>
      </c>
      <c r="M440" s="269">
        <f t="shared" si="5"/>
        <v>2046.2811999999999</v>
      </c>
    </row>
    <row r="441" spans="1:13" ht="30" outlineLevel="2" x14ac:dyDescent="0.25">
      <c r="A441" s="44" t="s">
        <v>231</v>
      </c>
      <c r="B441" s="274">
        <v>44490</v>
      </c>
      <c r="C441" s="44" t="s">
        <v>1036</v>
      </c>
      <c r="D441" s="275">
        <v>100004963</v>
      </c>
      <c r="E441" s="44" t="s">
        <v>988</v>
      </c>
      <c r="F441" s="44" t="s">
        <v>953</v>
      </c>
      <c r="G441" s="44" t="s">
        <v>995</v>
      </c>
      <c r="H441" s="44">
        <v>0</v>
      </c>
      <c r="I441" s="44">
        <v>0</v>
      </c>
      <c r="J441" s="44">
        <v>0</v>
      </c>
      <c r="K441" s="44">
        <v>1</v>
      </c>
      <c r="L441" s="44">
        <v>520</v>
      </c>
      <c r="M441" s="269">
        <f t="shared" si="5"/>
        <v>520</v>
      </c>
    </row>
    <row r="442" spans="1:13" outlineLevel="1" x14ac:dyDescent="0.25">
      <c r="A442" s="282" t="s">
        <v>650</v>
      </c>
      <c r="B442" s="741"/>
      <c r="C442" s="742"/>
      <c r="D442" s="742"/>
      <c r="E442" s="742"/>
      <c r="F442" s="742"/>
      <c r="G442" s="743"/>
      <c r="H442" s="283"/>
      <c r="I442" s="283"/>
      <c r="J442" s="283"/>
      <c r="K442" s="283"/>
      <c r="L442" s="283"/>
      <c r="M442" s="285">
        <f>SUBTOTAL(9,M418:M441)</f>
        <v>53911.820950000001</v>
      </c>
    </row>
    <row r="443" spans="1:13" outlineLevel="2" x14ac:dyDescent="0.25">
      <c r="A443" s="44" t="s">
        <v>245</v>
      </c>
      <c r="B443" s="274">
        <v>44470</v>
      </c>
      <c r="C443" s="44" t="s">
        <v>1034</v>
      </c>
      <c r="D443" s="275">
        <v>500033638</v>
      </c>
      <c r="E443" s="44" t="s">
        <v>713</v>
      </c>
      <c r="F443" s="44" t="s">
        <v>714</v>
      </c>
      <c r="G443" s="44"/>
      <c r="H443" s="44"/>
      <c r="I443" s="44"/>
      <c r="J443" s="44"/>
      <c r="K443" s="44"/>
      <c r="L443" s="44"/>
      <c r="M443" s="276">
        <v>1791.53</v>
      </c>
    </row>
    <row r="444" spans="1:13" outlineLevel="2" x14ac:dyDescent="0.25">
      <c r="A444" s="44" t="s">
        <v>245</v>
      </c>
      <c r="B444" s="274">
        <v>44470</v>
      </c>
      <c r="C444" s="44" t="s">
        <v>1034</v>
      </c>
      <c r="D444" s="275">
        <v>10400578195</v>
      </c>
      <c r="E444" s="44" t="s">
        <v>716</v>
      </c>
      <c r="F444" s="44" t="s">
        <v>717</v>
      </c>
      <c r="G444" s="44"/>
      <c r="H444" s="44"/>
      <c r="I444" s="44"/>
      <c r="J444" s="44"/>
      <c r="K444" s="44"/>
      <c r="L444" s="44"/>
      <c r="M444" s="276">
        <v>1277.8</v>
      </c>
    </row>
    <row r="445" spans="1:13" outlineLevel="2" x14ac:dyDescent="0.25">
      <c r="A445" s="44" t="s">
        <v>245</v>
      </c>
      <c r="B445" s="274">
        <v>44470</v>
      </c>
      <c r="C445" s="44" t="s">
        <v>1034</v>
      </c>
      <c r="D445" s="275">
        <v>60000274229</v>
      </c>
      <c r="E445" s="44" t="s">
        <v>718</v>
      </c>
      <c r="F445" s="44" t="s">
        <v>717</v>
      </c>
      <c r="G445" s="44"/>
      <c r="H445" s="44"/>
      <c r="I445" s="44"/>
      <c r="J445" s="44"/>
      <c r="K445" s="44"/>
      <c r="L445" s="44"/>
      <c r="M445" s="276">
        <v>901.51</v>
      </c>
    </row>
    <row r="446" spans="1:13" outlineLevel="2" x14ac:dyDescent="0.25">
      <c r="A446" s="44" t="s">
        <v>245</v>
      </c>
      <c r="B446" s="274">
        <v>44470</v>
      </c>
      <c r="C446" s="44" t="s">
        <v>1034</v>
      </c>
      <c r="D446" s="275">
        <v>60000285996</v>
      </c>
      <c r="E446" s="44" t="s">
        <v>718</v>
      </c>
      <c r="F446" s="44" t="s">
        <v>717</v>
      </c>
      <c r="G446" s="44"/>
      <c r="H446" s="44"/>
      <c r="I446" s="44"/>
      <c r="J446" s="44"/>
      <c r="K446" s="44"/>
      <c r="L446" s="44"/>
      <c r="M446" s="276">
        <v>1750.05</v>
      </c>
    </row>
    <row r="447" spans="1:13" outlineLevel="2" x14ac:dyDescent="0.25">
      <c r="A447" s="44" t="s">
        <v>245</v>
      </c>
      <c r="B447" s="274">
        <v>44489</v>
      </c>
      <c r="C447" s="44" t="s">
        <v>1034</v>
      </c>
      <c r="D447" s="275">
        <v>50300370602</v>
      </c>
      <c r="E447" s="44" t="s">
        <v>741</v>
      </c>
      <c r="F447" s="44" t="s">
        <v>717</v>
      </c>
      <c r="G447" s="44"/>
      <c r="H447" s="44"/>
      <c r="I447" s="44"/>
      <c r="J447" s="44"/>
      <c r="K447" s="44"/>
      <c r="L447" s="44"/>
      <c r="M447" s="276">
        <v>432.73</v>
      </c>
    </row>
    <row r="448" spans="1:13" outlineLevel="2" x14ac:dyDescent="0.25">
      <c r="A448" s="44" t="s">
        <v>245</v>
      </c>
      <c r="B448" s="274">
        <v>44491</v>
      </c>
      <c r="C448" s="44" t="s">
        <v>1034</v>
      </c>
      <c r="D448" s="275">
        <v>10400676781</v>
      </c>
      <c r="E448" s="44" t="s">
        <v>716</v>
      </c>
      <c r="F448" s="44" t="s">
        <v>717</v>
      </c>
      <c r="G448" s="44"/>
      <c r="H448" s="44"/>
      <c r="I448" s="44"/>
      <c r="J448" s="44"/>
      <c r="K448" s="44"/>
      <c r="L448" s="44"/>
      <c r="M448" s="276">
        <v>421.49</v>
      </c>
    </row>
    <row r="449" spans="1:13" outlineLevel="2" x14ac:dyDescent="0.25">
      <c r="A449" s="44" t="s">
        <v>245</v>
      </c>
      <c r="B449" s="274">
        <v>44491</v>
      </c>
      <c r="C449" s="44" t="s">
        <v>1034</v>
      </c>
      <c r="D449" s="275">
        <v>10400701977</v>
      </c>
      <c r="E449" s="44" t="s">
        <v>716</v>
      </c>
      <c r="F449" s="44" t="s">
        <v>717</v>
      </c>
      <c r="G449" s="44"/>
      <c r="H449" s="44"/>
      <c r="I449" s="44"/>
      <c r="J449" s="44"/>
      <c r="K449" s="44"/>
      <c r="L449" s="44"/>
      <c r="M449" s="276">
        <v>915.7</v>
      </c>
    </row>
    <row r="450" spans="1:13" outlineLevel="2" x14ac:dyDescent="0.25">
      <c r="A450" s="44" t="s">
        <v>245</v>
      </c>
      <c r="B450" s="274">
        <v>44499</v>
      </c>
      <c r="C450" s="44" t="s">
        <v>1034</v>
      </c>
      <c r="D450" s="275">
        <v>300001911</v>
      </c>
      <c r="E450" s="44" t="s">
        <v>802</v>
      </c>
      <c r="F450" s="44" t="s">
        <v>803</v>
      </c>
      <c r="G450" s="44"/>
      <c r="H450" s="44"/>
      <c r="I450" s="44"/>
      <c r="J450" s="44"/>
      <c r="K450" s="44"/>
      <c r="L450" s="44"/>
      <c r="M450" s="276">
        <v>11031.14</v>
      </c>
    </row>
    <row r="451" spans="1:13" outlineLevel="2" x14ac:dyDescent="0.25">
      <c r="A451" s="44" t="s">
        <v>245</v>
      </c>
      <c r="B451" s="274">
        <v>44500</v>
      </c>
      <c r="C451" s="44" t="s">
        <v>1034</v>
      </c>
      <c r="D451" s="275">
        <v>60000298248</v>
      </c>
      <c r="E451" s="44" t="s">
        <v>718</v>
      </c>
      <c r="F451" s="44" t="s">
        <v>717</v>
      </c>
      <c r="G451" s="44"/>
      <c r="H451" s="44"/>
      <c r="I451" s="44"/>
      <c r="J451" s="44"/>
      <c r="K451" s="44"/>
      <c r="L451" s="44"/>
      <c r="M451" s="276">
        <v>3522.1</v>
      </c>
    </row>
    <row r="452" spans="1:13" outlineLevel="2" x14ac:dyDescent="0.25">
      <c r="A452" s="278" t="s">
        <v>245</v>
      </c>
      <c r="B452" s="279">
        <v>44474</v>
      </c>
      <c r="C452" s="278" t="s">
        <v>1033</v>
      </c>
      <c r="D452" s="275">
        <v>7653</v>
      </c>
      <c r="E452" s="278" t="s">
        <v>841</v>
      </c>
      <c r="F452" s="278" t="s">
        <v>842</v>
      </c>
      <c r="G452" s="278"/>
      <c r="H452" s="278"/>
      <c r="I452" s="278"/>
      <c r="J452" s="278"/>
      <c r="K452" s="278"/>
      <c r="L452" s="278"/>
      <c r="M452" s="269">
        <v>650</v>
      </c>
    </row>
    <row r="453" spans="1:13" outlineLevel="2" x14ac:dyDescent="0.25">
      <c r="A453" s="44" t="s">
        <v>245</v>
      </c>
      <c r="B453" s="274">
        <v>44476</v>
      </c>
      <c r="C453" s="44" t="s">
        <v>1036</v>
      </c>
      <c r="D453" s="275">
        <v>100004938</v>
      </c>
      <c r="E453" s="44" t="s">
        <v>938</v>
      </c>
      <c r="F453" s="44" t="s">
        <v>938</v>
      </c>
      <c r="G453" s="44"/>
      <c r="H453" s="44">
        <v>0</v>
      </c>
      <c r="I453" s="44">
        <v>0</v>
      </c>
      <c r="J453" s="44">
        <v>0</v>
      </c>
      <c r="K453" s="44">
        <v>1</v>
      </c>
      <c r="L453" s="44">
        <v>250</v>
      </c>
      <c r="M453" s="269">
        <f>L453-(H453+I453+J453)*K453</f>
        <v>250</v>
      </c>
    </row>
    <row r="454" spans="1:13" outlineLevel="1" x14ac:dyDescent="0.25">
      <c r="A454" s="282" t="s">
        <v>651</v>
      </c>
      <c r="B454" s="741"/>
      <c r="C454" s="742"/>
      <c r="D454" s="742"/>
      <c r="E454" s="742"/>
      <c r="F454" s="742"/>
      <c r="G454" s="743"/>
      <c r="H454" s="283"/>
      <c r="I454" s="283"/>
      <c r="J454" s="283"/>
      <c r="K454" s="283"/>
      <c r="L454" s="283"/>
      <c r="M454" s="285">
        <f>SUBTOTAL(9,M443:M453)</f>
        <v>22944.05</v>
      </c>
    </row>
    <row r="455" spans="1:13" outlineLevel="2" x14ac:dyDescent="0.25">
      <c r="A455" s="44" t="s">
        <v>463</v>
      </c>
      <c r="B455" s="274">
        <v>44495</v>
      </c>
      <c r="C455" s="44" t="s">
        <v>1034</v>
      </c>
      <c r="D455" s="275">
        <v>500003105</v>
      </c>
      <c r="E455" s="44" t="s">
        <v>724</v>
      </c>
      <c r="F455" s="44" t="s">
        <v>735</v>
      </c>
      <c r="G455" s="44"/>
      <c r="H455" s="44"/>
      <c r="I455" s="44"/>
      <c r="J455" s="44"/>
      <c r="K455" s="44"/>
      <c r="L455" s="44"/>
      <c r="M455" s="276">
        <v>360</v>
      </c>
    </row>
    <row r="456" spans="1:13" outlineLevel="1" x14ac:dyDescent="0.25">
      <c r="A456" s="286" t="s">
        <v>1071</v>
      </c>
      <c r="B456" s="738"/>
      <c r="C456" s="739"/>
      <c r="D456" s="739"/>
      <c r="E456" s="739"/>
      <c r="F456" s="739"/>
      <c r="G456" s="740"/>
      <c r="H456" s="287"/>
      <c r="I456" s="287"/>
      <c r="J456" s="287"/>
      <c r="K456" s="287"/>
      <c r="L456" s="287"/>
      <c r="M456" s="288">
        <f>SUBTOTAL(9,M455:M455)</f>
        <v>360</v>
      </c>
    </row>
    <row r="457" spans="1:13" outlineLevel="2" x14ac:dyDescent="0.25">
      <c r="A457" s="44" t="s">
        <v>33</v>
      </c>
      <c r="B457" s="274">
        <v>44485</v>
      </c>
      <c r="C457" s="44" t="s">
        <v>1036</v>
      </c>
      <c r="D457" s="275">
        <v>100004959</v>
      </c>
      <c r="E457" s="44" t="s">
        <v>997</v>
      </c>
      <c r="F457" s="44" t="s">
        <v>937</v>
      </c>
      <c r="G457" s="44" t="s">
        <v>918</v>
      </c>
      <c r="H457" s="44">
        <v>1353.7188000000001</v>
      </c>
      <c r="I457" s="44">
        <v>0</v>
      </c>
      <c r="J457" s="44">
        <v>0</v>
      </c>
      <c r="K457" s="44">
        <v>1</v>
      </c>
      <c r="L457" s="277">
        <v>8500</v>
      </c>
      <c r="M457" s="269">
        <f>L457-(H457+I457+J457)*K457</f>
        <v>7146.2811999999994</v>
      </c>
    </row>
    <row r="458" spans="1:13" outlineLevel="1" x14ac:dyDescent="0.25">
      <c r="A458" s="286" t="s">
        <v>1072</v>
      </c>
      <c r="B458" s="738"/>
      <c r="C458" s="739"/>
      <c r="D458" s="739"/>
      <c r="E458" s="739"/>
      <c r="F458" s="739"/>
      <c r="G458" s="740"/>
      <c r="H458" s="287"/>
      <c r="I458" s="287"/>
      <c r="J458" s="287"/>
      <c r="K458" s="287"/>
      <c r="L458" s="289"/>
      <c r="M458" s="288">
        <f>SUBTOTAL(9,M457:M457)</f>
        <v>7146.2811999999994</v>
      </c>
    </row>
    <row r="459" spans="1:13" outlineLevel="2" x14ac:dyDescent="0.25">
      <c r="A459" s="44" t="s">
        <v>66</v>
      </c>
      <c r="B459" s="274">
        <v>44494</v>
      </c>
      <c r="C459" s="44" t="s">
        <v>1032</v>
      </c>
      <c r="D459" s="275">
        <v>6627</v>
      </c>
      <c r="E459" s="44" t="s">
        <v>846</v>
      </c>
      <c r="F459" s="44" t="s">
        <v>863</v>
      </c>
      <c r="G459" s="44">
        <v>72328</v>
      </c>
      <c r="H459" s="44"/>
      <c r="I459" s="44"/>
      <c r="J459" s="44"/>
      <c r="K459" s="44"/>
      <c r="L459" s="44"/>
      <c r="M459" s="276">
        <v>280.56</v>
      </c>
    </row>
    <row r="460" spans="1:13" outlineLevel="1" x14ac:dyDescent="0.25">
      <c r="A460" s="286" t="s">
        <v>1073</v>
      </c>
      <c r="B460" s="738"/>
      <c r="C460" s="739"/>
      <c r="D460" s="739"/>
      <c r="E460" s="739"/>
      <c r="F460" s="739"/>
      <c r="G460" s="740"/>
      <c r="H460" s="287"/>
      <c r="I460" s="287"/>
      <c r="J460" s="287"/>
      <c r="K460" s="287"/>
      <c r="L460" s="287"/>
      <c r="M460" s="288">
        <f>SUBTOTAL(9,M459:M459)</f>
        <v>280.56</v>
      </c>
    </row>
    <row r="461" spans="1:13" outlineLevel="2" x14ac:dyDescent="0.25">
      <c r="A461" s="44" t="s">
        <v>274</v>
      </c>
      <c r="B461" s="274">
        <v>44485</v>
      </c>
      <c r="C461" s="44" t="s">
        <v>1036</v>
      </c>
      <c r="D461" s="275">
        <v>100004959</v>
      </c>
      <c r="E461" s="44" t="s">
        <v>997</v>
      </c>
      <c r="F461" s="44" t="s">
        <v>937</v>
      </c>
      <c r="G461" s="44" t="s">
        <v>918</v>
      </c>
      <c r="H461" s="44">
        <v>1353.7188000000001</v>
      </c>
      <c r="I461" s="44">
        <v>0</v>
      </c>
      <c r="J461" s="44">
        <v>0</v>
      </c>
      <c r="K461" s="44">
        <v>1</v>
      </c>
      <c r="L461" s="277">
        <v>8500</v>
      </c>
      <c r="M461" s="269">
        <f>L461-(H461+I461+J461)*K461</f>
        <v>7146.2811999999994</v>
      </c>
    </row>
    <row r="462" spans="1:13" ht="30" outlineLevel="2" x14ac:dyDescent="0.25">
      <c r="A462" s="44" t="s">
        <v>274</v>
      </c>
      <c r="B462" s="274">
        <v>44490</v>
      </c>
      <c r="C462" s="44" t="s">
        <v>1036</v>
      </c>
      <c r="D462" s="275">
        <v>100004966</v>
      </c>
      <c r="E462" s="44" t="s">
        <v>944</v>
      </c>
      <c r="F462" s="44" t="s">
        <v>934</v>
      </c>
      <c r="G462" s="44" t="s">
        <v>918</v>
      </c>
      <c r="H462" s="44">
        <v>297.53640000000001</v>
      </c>
      <c r="I462" s="44">
        <v>0</v>
      </c>
      <c r="J462" s="44">
        <v>0</v>
      </c>
      <c r="K462" s="44">
        <v>1</v>
      </c>
      <c r="L462" s="277">
        <v>1714.38</v>
      </c>
      <c r="M462" s="269">
        <f>L462-(H462+I462+J462)*K462</f>
        <v>1416.8436000000002</v>
      </c>
    </row>
    <row r="463" spans="1:13" outlineLevel="2" x14ac:dyDescent="0.25">
      <c r="A463" s="44" t="s">
        <v>274</v>
      </c>
      <c r="B463" s="274">
        <v>44490</v>
      </c>
      <c r="C463" s="44" t="s">
        <v>1036</v>
      </c>
      <c r="D463" s="275">
        <v>100004966</v>
      </c>
      <c r="E463" s="44" t="s">
        <v>945</v>
      </c>
      <c r="F463" s="44" t="s">
        <v>917</v>
      </c>
      <c r="G463" s="44" t="s">
        <v>918</v>
      </c>
      <c r="H463" s="44">
        <v>0</v>
      </c>
      <c r="I463" s="44">
        <v>0</v>
      </c>
      <c r="J463" s="44">
        <v>0</v>
      </c>
      <c r="K463" s="44">
        <v>1</v>
      </c>
      <c r="L463" s="277">
        <v>1500</v>
      </c>
      <c r="M463" s="269">
        <f>L463-(H463+I463+J463)*K463</f>
        <v>1500</v>
      </c>
    </row>
    <row r="464" spans="1:13" outlineLevel="1" x14ac:dyDescent="0.25">
      <c r="A464" s="286" t="s">
        <v>1074</v>
      </c>
      <c r="B464" s="738"/>
      <c r="C464" s="739"/>
      <c r="D464" s="739"/>
      <c r="E464" s="739"/>
      <c r="F464" s="739"/>
      <c r="G464" s="740"/>
      <c r="H464" s="287"/>
      <c r="I464" s="287"/>
      <c r="J464" s="287"/>
      <c r="K464" s="287"/>
      <c r="L464" s="289"/>
      <c r="M464" s="288">
        <f>SUBTOTAL(9,M461:M463)</f>
        <v>10063.1248</v>
      </c>
    </row>
    <row r="465" spans="1:13" outlineLevel="2" x14ac:dyDescent="0.25">
      <c r="A465" s="44" t="s">
        <v>423</v>
      </c>
      <c r="B465" s="274">
        <v>44470</v>
      </c>
      <c r="C465" s="44" t="s">
        <v>1034</v>
      </c>
      <c r="D465" s="275">
        <v>500033638</v>
      </c>
      <c r="E465" s="44" t="s">
        <v>713</v>
      </c>
      <c r="F465" s="44" t="s">
        <v>714</v>
      </c>
      <c r="G465" s="44"/>
      <c r="H465" s="44"/>
      <c r="I465" s="44"/>
      <c r="J465" s="44"/>
      <c r="K465" s="44"/>
      <c r="L465" s="44"/>
      <c r="M465" s="276">
        <v>1791.53</v>
      </c>
    </row>
    <row r="466" spans="1:13" outlineLevel="2" x14ac:dyDescent="0.25">
      <c r="A466" s="44" t="s">
        <v>423</v>
      </c>
      <c r="B466" s="274">
        <v>44470</v>
      </c>
      <c r="C466" s="44" t="s">
        <v>1034</v>
      </c>
      <c r="D466" s="275">
        <v>10400520948</v>
      </c>
      <c r="E466" s="44" t="s">
        <v>716</v>
      </c>
      <c r="F466" s="44" t="s">
        <v>717</v>
      </c>
      <c r="G466" s="44"/>
      <c r="H466" s="44"/>
      <c r="I466" s="44"/>
      <c r="J466" s="44"/>
      <c r="K466" s="44"/>
      <c r="L466" s="44"/>
      <c r="M466" s="276">
        <v>247.94</v>
      </c>
    </row>
    <row r="467" spans="1:13" outlineLevel="2" x14ac:dyDescent="0.25">
      <c r="A467" s="44" t="s">
        <v>423</v>
      </c>
      <c r="B467" s="274">
        <v>44470</v>
      </c>
      <c r="C467" s="44" t="s">
        <v>1034</v>
      </c>
      <c r="D467" s="275">
        <v>10400560760</v>
      </c>
      <c r="E467" s="44" t="s">
        <v>716</v>
      </c>
      <c r="F467" s="44" t="s">
        <v>717</v>
      </c>
      <c r="G467" s="44"/>
      <c r="H467" s="44"/>
      <c r="I467" s="44"/>
      <c r="J467" s="44"/>
      <c r="K467" s="44"/>
      <c r="L467" s="44"/>
      <c r="M467" s="276">
        <v>262.81</v>
      </c>
    </row>
    <row r="468" spans="1:13" outlineLevel="2" x14ac:dyDescent="0.25">
      <c r="A468" s="44" t="s">
        <v>423</v>
      </c>
      <c r="B468" s="274">
        <v>44470</v>
      </c>
      <c r="C468" s="44" t="s">
        <v>1034</v>
      </c>
      <c r="D468" s="275">
        <v>10400572393</v>
      </c>
      <c r="E468" s="44" t="s">
        <v>716</v>
      </c>
      <c r="F468" s="44" t="s">
        <v>717</v>
      </c>
      <c r="G468" s="44"/>
      <c r="H468" s="44"/>
      <c r="I468" s="44"/>
      <c r="J468" s="44"/>
      <c r="K468" s="44"/>
      <c r="L468" s="44"/>
      <c r="M468" s="276">
        <v>342.98</v>
      </c>
    </row>
    <row r="469" spans="1:13" outlineLevel="2" x14ac:dyDescent="0.25">
      <c r="A469" s="44" t="s">
        <v>423</v>
      </c>
      <c r="B469" s="274">
        <v>44470</v>
      </c>
      <c r="C469" s="44" t="s">
        <v>1034</v>
      </c>
      <c r="D469" s="275">
        <v>60000285996</v>
      </c>
      <c r="E469" s="44" t="s">
        <v>718</v>
      </c>
      <c r="F469" s="44" t="s">
        <v>717</v>
      </c>
      <c r="G469" s="44"/>
      <c r="H469" s="44"/>
      <c r="I469" s="44"/>
      <c r="J469" s="44"/>
      <c r="K469" s="44"/>
      <c r="L469" s="44"/>
      <c r="M469" s="276">
        <v>649.47</v>
      </c>
    </row>
    <row r="470" spans="1:13" outlineLevel="2" x14ac:dyDescent="0.25">
      <c r="A470" s="44" t="s">
        <v>423</v>
      </c>
      <c r="B470" s="274">
        <v>44475</v>
      </c>
      <c r="C470" s="44" t="s">
        <v>1034</v>
      </c>
      <c r="D470" s="275">
        <v>400035206</v>
      </c>
      <c r="E470" s="44" t="s">
        <v>780</v>
      </c>
      <c r="F470" s="44" t="s">
        <v>804</v>
      </c>
      <c r="G470" s="44"/>
      <c r="H470" s="44"/>
      <c r="I470" s="44"/>
      <c r="J470" s="44"/>
      <c r="K470" s="44"/>
      <c r="L470" s="44"/>
      <c r="M470" s="276">
        <v>60401</v>
      </c>
    </row>
    <row r="471" spans="1:13" outlineLevel="2" x14ac:dyDescent="0.25">
      <c r="A471" s="44" t="s">
        <v>423</v>
      </c>
      <c r="B471" s="274">
        <v>44497</v>
      </c>
      <c r="C471" s="44" t="s">
        <v>1034</v>
      </c>
      <c r="D471" s="275">
        <v>400035573</v>
      </c>
      <c r="E471" s="44" t="s">
        <v>780</v>
      </c>
      <c r="F471" s="44" t="s">
        <v>805</v>
      </c>
      <c r="G471" s="44"/>
      <c r="H471" s="44"/>
      <c r="I471" s="44"/>
      <c r="J471" s="44"/>
      <c r="K471" s="44"/>
      <c r="L471" s="44"/>
      <c r="M471" s="276">
        <v>7035</v>
      </c>
    </row>
    <row r="472" spans="1:13" outlineLevel="2" x14ac:dyDescent="0.25">
      <c r="A472" s="44" t="s">
        <v>423</v>
      </c>
      <c r="B472" s="274">
        <v>44483</v>
      </c>
      <c r="C472" s="44" t="s">
        <v>1035</v>
      </c>
      <c r="D472" s="275">
        <v>400005623</v>
      </c>
      <c r="E472" s="44" t="s">
        <v>780</v>
      </c>
      <c r="F472" s="44" t="s">
        <v>839</v>
      </c>
      <c r="G472" s="44"/>
      <c r="H472" s="44"/>
      <c r="I472" s="44"/>
      <c r="J472" s="44"/>
      <c r="K472" s="44"/>
      <c r="L472" s="44"/>
      <c r="M472" s="276">
        <v>-4228.07</v>
      </c>
    </row>
    <row r="473" spans="1:13" outlineLevel="1" x14ac:dyDescent="0.25">
      <c r="A473" s="282" t="s">
        <v>1075</v>
      </c>
      <c r="B473" s="741"/>
      <c r="C473" s="742"/>
      <c r="D473" s="742"/>
      <c r="E473" s="742"/>
      <c r="F473" s="742"/>
      <c r="G473" s="743"/>
      <c r="H473" s="283"/>
      <c r="I473" s="283"/>
      <c r="J473" s="283"/>
      <c r="K473" s="283"/>
      <c r="L473" s="283"/>
      <c r="M473" s="285">
        <f>SUBTOTAL(9,M465:M472)</f>
        <v>66502.66</v>
      </c>
    </row>
    <row r="474" spans="1:13" outlineLevel="2" x14ac:dyDescent="0.25">
      <c r="A474" s="44" t="s">
        <v>269</v>
      </c>
      <c r="B474" s="274">
        <v>44470</v>
      </c>
      <c r="C474" s="44" t="s">
        <v>1034</v>
      </c>
      <c r="D474" s="275">
        <v>500033638</v>
      </c>
      <c r="E474" s="44" t="s">
        <v>713</v>
      </c>
      <c r="F474" s="44" t="s">
        <v>714</v>
      </c>
      <c r="G474" s="44"/>
      <c r="H474" s="44"/>
      <c r="I474" s="44"/>
      <c r="J474" s="44"/>
      <c r="K474" s="44"/>
      <c r="L474" s="44"/>
      <c r="M474" s="276">
        <v>1791.53</v>
      </c>
    </row>
    <row r="475" spans="1:13" outlineLevel="2" x14ac:dyDescent="0.25">
      <c r="A475" s="44" t="s">
        <v>269</v>
      </c>
      <c r="B475" s="274">
        <v>44470</v>
      </c>
      <c r="C475" s="44" t="s">
        <v>1034</v>
      </c>
      <c r="D475" s="275">
        <v>60000274229</v>
      </c>
      <c r="E475" s="44" t="s">
        <v>718</v>
      </c>
      <c r="F475" s="44" t="s">
        <v>717</v>
      </c>
      <c r="G475" s="44"/>
      <c r="H475" s="44"/>
      <c r="I475" s="44"/>
      <c r="J475" s="44"/>
      <c r="K475" s="44"/>
      <c r="L475" s="44"/>
      <c r="M475" s="276">
        <v>8856.76</v>
      </c>
    </row>
    <row r="476" spans="1:13" outlineLevel="2" x14ac:dyDescent="0.25">
      <c r="A476" s="44" t="s">
        <v>269</v>
      </c>
      <c r="B476" s="274">
        <v>44470</v>
      </c>
      <c r="C476" s="44" t="s">
        <v>1034</v>
      </c>
      <c r="D476" s="275">
        <v>60000285996</v>
      </c>
      <c r="E476" s="44" t="s">
        <v>718</v>
      </c>
      <c r="F476" s="44" t="s">
        <v>717</v>
      </c>
      <c r="G476" s="44"/>
      <c r="H476" s="44"/>
      <c r="I476" s="44"/>
      <c r="J476" s="44"/>
      <c r="K476" s="44"/>
      <c r="L476" s="44"/>
      <c r="M476" s="276">
        <v>5233.63</v>
      </c>
    </row>
    <row r="477" spans="1:13" ht="30" outlineLevel="2" x14ac:dyDescent="0.25">
      <c r="A477" s="44" t="s">
        <v>269</v>
      </c>
      <c r="B477" s="274">
        <v>44473</v>
      </c>
      <c r="C477" s="44" t="s">
        <v>1034</v>
      </c>
      <c r="D477" s="275">
        <v>6100301594</v>
      </c>
      <c r="E477" s="44" t="s">
        <v>730</v>
      </c>
      <c r="F477" s="44" t="s">
        <v>717</v>
      </c>
      <c r="G477" s="44"/>
      <c r="H477" s="44"/>
      <c r="I477" s="44"/>
      <c r="J477" s="44"/>
      <c r="K477" s="44"/>
      <c r="L477" s="44"/>
      <c r="M477" s="276">
        <v>286</v>
      </c>
    </row>
    <row r="478" spans="1:13" outlineLevel="2" x14ac:dyDescent="0.25">
      <c r="A478" s="44" t="s">
        <v>269</v>
      </c>
      <c r="B478" s="274">
        <v>44474</v>
      </c>
      <c r="C478" s="44" t="s">
        <v>1034</v>
      </c>
      <c r="D478" s="275">
        <v>200000058</v>
      </c>
      <c r="E478" s="44" t="s">
        <v>733</v>
      </c>
      <c r="F478" s="44" t="s">
        <v>738</v>
      </c>
      <c r="G478" s="44"/>
      <c r="H478" s="44"/>
      <c r="I478" s="44"/>
      <c r="J478" s="44"/>
      <c r="K478" s="44"/>
      <c r="L478" s="44"/>
      <c r="M478" s="276">
        <v>5000</v>
      </c>
    </row>
    <row r="479" spans="1:13" outlineLevel="2" x14ac:dyDescent="0.25">
      <c r="A479" s="44" t="s">
        <v>269</v>
      </c>
      <c r="B479" s="274">
        <v>44474</v>
      </c>
      <c r="C479" s="44" t="s">
        <v>1034</v>
      </c>
      <c r="D479" s="275">
        <v>200000058</v>
      </c>
      <c r="E479" s="44" t="s">
        <v>733</v>
      </c>
      <c r="F479" s="44" t="s">
        <v>806</v>
      </c>
      <c r="G479" s="44"/>
      <c r="H479" s="44"/>
      <c r="I479" s="44"/>
      <c r="J479" s="44"/>
      <c r="K479" s="44"/>
      <c r="L479" s="44"/>
      <c r="M479" s="276">
        <v>5400</v>
      </c>
    </row>
    <row r="480" spans="1:13" outlineLevel="2" x14ac:dyDescent="0.25">
      <c r="A480" s="44" t="s">
        <v>269</v>
      </c>
      <c r="B480" s="274">
        <v>44474</v>
      </c>
      <c r="C480" s="44" t="s">
        <v>1034</v>
      </c>
      <c r="D480" s="275">
        <v>200000058</v>
      </c>
      <c r="E480" s="44" t="s">
        <v>733</v>
      </c>
      <c r="F480" s="44" t="s">
        <v>807</v>
      </c>
      <c r="G480" s="44"/>
      <c r="H480" s="44"/>
      <c r="I480" s="44"/>
      <c r="J480" s="44"/>
      <c r="K480" s="44"/>
      <c r="L480" s="44"/>
      <c r="M480" s="276">
        <v>400</v>
      </c>
    </row>
    <row r="481" spans="1:13" outlineLevel="2" x14ac:dyDescent="0.25">
      <c r="A481" s="44" t="s">
        <v>269</v>
      </c>
      <c r="B481" s="274">
        <v>44474</v>
      </c>
      <c r="C481" s="44" t="s">
        <v>1034</v>
      </c>
      <c r="D481" s="275">
        <v>200000058</v>
      </c>
      <c r="E481" s="44" t="s">
        <v>733</v>
      </c>
      <c r="F481" s="44" t="s">
        <v>808</v>
      </c>
      <c r="G481" s="44"/>
      <c r="H481" s="44"/>
      <c r="I481" s="44"/>
      <c r="J481" s="44"/>
      <c r="K481" s="44"/>
      <c r="L481" s="44"/>
      <c r="M481" s="276">
        <v>700</v>
      </c>
    </row>
    <row r="482" spans="1:13" outlineLevel="2" x14ac:dyDescent="0.25">
      <c r="A482" s="44" t="s">
        <v>269</v>
      </c>
      <c r="B482" s="274">
        <v>44491</v>
      </c>
      <c r="C482" s="44" t="s">
        <v>1034</v>
      </c>
      <c r="D482" s="275">
        <v>10400676781</v>
      </c>
      <c r="E482" s="44" t="s">
        <v>716</v>
      </c>
      <c r="F482" s="44" t="s">
        <v>717</v>
      </c>
      <c r="G482" s="44"/>
      <c r="H482" s="44"/>
      <c r="I482" s="44"/>
      <c r="J482" s="44"/>
      <c r="K482" s="44"/>
      <c r="L482" s="44"/>
      <c r="M482" s="276">
        <v>1068.5999999999999</v>
      </c>
    </row>
    <row r="483" spans="1:13" outlineLevel="2" x14ac:dyDescent="0.25">
      <c r="A483" s="44" t="s">
        <v>269</v>
      </c>
      <c r="B483" s="274">
        <v>44491</v>
      </c>
      <c r="C483" s="44" t="s">
        <v>1034</v>
      </c>
      <c r="D483" s="275">
        <v>10400701977</v>
      </c>
      <c r="E483" s="44" t="s">
        <v>716</v>
      </c>
      <c r="F483" s="44" t="s">
        <v>717</v>
      </c>
      <c r="G483" s="44"/>
      <c r="H483" s="44"/>
      <c r="I483" s="44"/>
      <c r="J483" s="44"/>
      <c r="K483" s="44"/>
      <c r="L483" s="44"/>
      <c r="M483" s="276">
        <v>915.7</v>
      </c>
    </row>
    <row r="484" spans="1:13" outlineLevel="2" x14ac:dyDescent="0.25">
      <c r="A484" s="44" t="s">
        <v>269</v>
      </c>
      <c r="B484" s="274">
        <v>44500</v>
      </c>
      <c r="C484" s="44" t="s">
        <v>1034</v>
      </c>
      <c r="D484" s="275">
        <v>60000298248</v>
      </c>
      <c r="E484" s="44" t="s">
        <v>718</v>
      </c>
      <c r="F484" s="44" t="s">
        <v>717</v>
      </c>
      <c r="G484" s="44"/>
      <c r="H484" s="44"/>
      <c r="I484" s="44"/>
      <c r="J484" s="44"/>
      <c r="K484" s="44"/>
      <c r="L484" s="44"/>
      <c r="M484" s="276">
        <v>4960.6099999999997</v>
      </c>
    </row>
    <row r="485" spans="1:13" ht="30" outlineLevel="2" x14ac:dyDescent="0.25">
      <c r="A485" s="44" t="s">
        <v>269</v>
      </c>
      <c r="B485" s="274">
        <v>44485</v>
      </c>
      <c r="C485" s="44" t="s">
        <v>1032</v>
      </c>
      <c r="D485" s="275">
        <v>6587</v>
      </c>
      <c r="E485" s="44" t="s">
        <v>846</v>
      </c>
      <c r="F485" s="44" t="s">
        <v>901</v>
      </c>
      <c r="G485" s="44" t="s">
        <v>897</v>
      </c>
      <c r="H485" s="44"/>
      <c r="I485" s="44"/>
      <c r="J485" s="44"/>
      <c r="K485" s="44"/>
      <c r="L485" s="44"/>
      <c r="M485" s="276">
        <v>407</v>
      </c>
    </row>
    <row r="486" spans="1:13" outlineLevel="2" x14ac:dyDescent="0.25">
      <c r="A486" s="44" t="s">
        <v>269</v>
      </c>
      <c r="B486" s="274">
        <v>44485</v>
      </c>
      <c r="C486" s="44" t="s">
        <v>1032</v>
      </c>
      <c r="D486" s="275">
        <v>6587</v>
      </c>
      <c r="E486" s="44" t="s">
        <v>846</v>
      </c>
      <c r="F486" s="44" t="s">
        <v>890</v>
      </c>
      <c r="G486" s="44" t="s">
        <v>891</v>
      </c>
      <c r="H486" s="44"/>
      <c r="I486" s="44"/>
      <c r="J486" s="44"/>
      <c r="K486" s="44"/>
      <c r="L486" s="44"/>
      <c r="M486" s="276">
        <v>918.38</v>
      </c>
    </row>
    <row r="487" spans="1:13" outlineLevel="2" x14ac:dyDescent="0.25">
      <c r="A487" s="44" t="s">
        <v>269</v>
      </c>
      <c r="B487" s="274">
        <v>44485</v>
      </c>
      <c r="C487" s="44" t="s">
        <v>1032</v>
      </c>
      <c r="D487" s="275">
        <v>6587</v>
      </c>
      <c r="E487" s="44" t="s">
        <v>846</v>
      </c>
      <c r="F487" s="44" t="s">
        <v>866</v>
      </c>
      <c r="G487" s="44" t="s">
        <v>854</v>
      </c>
      <c r="H487" s="44"/>
      <c r="I487" s="44"/>
      <c r="J487" s="44"/>
      <c r="K487" s="44"/>
      <c r="L487" s="44"/>
      <c r="M487" s="276">
        <v>1032.03</v>
      </c>
    </row>
    <row r="488" spans="1:13" outlineLevel="2" x14ac:dyDescent="0.25">
      <c r="A488" s="44" t="s">
        <v>269</v>
      </c>
      <c r="B488" s="274">
        <v>44496</v>
      </c>
      <c r="C488" s="44" t="s">
        <v>1036</v>
      </c>
      <c r="D488" s="275">
        <v>100004983</v>
      </c>
      <c r="E488" s="44" t="s">
        <v>716</v>
      </c>
      <c r="F488" s="44" t="s">
        <v>717</v>
      </c>
      <c r="G488" s="44" t="s">
        <v>998</v>
      </c>
      <c r="H488" s="44">
        <v>38.181801</v>
      </c>
      <c r="I488" s="44">
        <v>0</v>
      </c>
      <c r="J488" s="44">
        <v>0</v>
      </c>
      <c r="K488" s="44">
        <v>3</v>
      </c>
      <c r="L488" s="44">
        <v>660</v>
      </c>
      <c r="M488" s="269">
        <f>L488-(H488+I488+J488)*K488</f>
        <v>545.45459700000004</v>
      </c>
    </row>
    <row r="489" spans="1:13" ht="30" outlineLevel="2" x14ac:dyDescent="0.25">
      <c r="A489" s="44" t="s">
        <v>269</v>
      </c>
      <c r="B489" s="274">
        <v>44496</v>
      </c>
      <c r="C489" s="44" t="s">
        <v>1036</v>
      </c>
      <c r="D489" s="275">
        <v>100004983</v>
      </c>
      <c r="E489" s="44" t="s">
        <v>999</v>
      </c>
      <c r="F489" s="44" t="s">
        <v>917</v>
      </c>
      <c r="G489" s="44" t="s">
        <v>998</v>
      </c>
      <c r="H489" s="44">
        <v>97.190100000000001</v>
      </c>
      <c r="I489" s="44">
        <v>0</v>
      </c>
      <c r="J489" s="44">
        <v>0</v>
      </c>
      <c r="K489" s="44">
        <v>1</v>
      </c>
      <c r="L489" s="44">
        <v>560</v>
      </c>
      <c r="M489" s="269">
        <f>L489-(H489+I489+J489)*K489</f>
        <v>462.80989999999997</v>
      </c>
    </row>
    <row r="490" spans="1:13" ht="30" outlineLevel="2" x14ac:dyDescent="0.25">
      <c r="A490" s="44" t="s">
        <v>269</v>
      </c>
      <c r="B490" s="274">
        <v>44497</v>
      </c>
      <c r="C490" s="44" t="s">
        <v>1036</v>
      </c>
      <c r="D490" s="275">
        <v>100004984</v>
      </c>
      <c r="E490" s="44" t="s">
        <v>927</v>
      </c>
      <c r="F490" s="44" t="s">
        <v>928</v>
      </c>
      <c r="G490" s="44" t="s">
        <v>1000</v>
      </c>
      <c r="H490" s="44">
        <v>0</v>
      </c>
      <c r="I490" s="44">
        <v>0</v>
      </c>
      <c r="J490" s="44">
        <v>0</v>
      </c>
      <c r="K490" s="44">
        <v>1</v>
      </c>
      <c r="L490" s="277">
        <v>6171</v>
      </c>
      <c r="M490" s="269">
        <f>L490-(H490+I490+J490)*K490</f>
        <v>6171</v>
      </c>
    </row>
    <row r="491" spans="1:13" outlineLevel="1" x14ac:dyDescent="0.25">
      <c r="A491" s="282" t="s">
        <v>652</v>
      </c>
      <c r="B491" s="741"/>
      <c r="C491" s="742"/>
      <c r="D491" s="742"/>
      <c r="E491" s="742"/>
      <c r="F491" s="742"/>
      <c r="G491" s="743"/>
      <c r="H491" s="283"/>
      <c r="I491" s="283"/>
      <c r="J491" s="283"/>
      <c r="K491" s="283"/>
      <c r="L491" s="284"/>
      <c r="M491" s="285">
        <f>SUBTOTAL(9,M474:M490)</f>
        <v>44149.504497000002</v>
      </c>
    </row>
    <row r="492" spans="1:13" outlineLevel="2" x14ac:dyDescent="0.25">
      <c r="A492" s="44" t="s">
        <v>282</v>
      </c>
      <c r="B492" s="274">
        <v>44470</v>
      </c>
      <c r="C492" s="44" t="s">
        <v>1034</v>
      </c>
      <c r="D492" s="275">
        <v>10400560760</v>
      </c>
      <c r="E492" s="44" t="s">
        <v>716</v>
      </c>
      <c r="F492" s="44" t="s">
        <v>717</v>
      </c>
      <c r="G492" s="44"/>
      <c r="H492" s="44"/>
      <c r="I492" s="44"/>
      <c r="J492" s="44"/>
      <c r="K492" s="44"/>
      <c r="L492" s="44"/>
      <c r="M492" s="276">
        <v>825.62</v>
      </c>
    </row>
    <row r="493" spans="1:13" outlineLevel="2" x14ac:dyDescent="0.25">
      <c r="A493" s="44" t="s">
        <v>282</v>
      </c>
      <c r="B493" s="274">
        <v>44470</v>
      </c>
      <c r="C493" s="44" t="s">
        <v>1034</v>
      </c>
      <c r="D493" s="275">
        <v>60000285996</v>
      </c>
      <c r="E493" s="44" t="s">
        <v>718</v>
      </c>
      <c r="F493" s="44" t="s">
        <v>717</v>
      </c>
      <c r="G493" s="44"/>
      <c r="H493" s="44"/>
      <c r="I493" s="44"/>
      <c r="J493" s="44"/>
      <c r="K493" s="44"/>
      <c r="L493" s="44"/>
      <c r="M493" s="276">
        <v>467.65</v>
      </c>
    </row>
    <row r="494" spans="1:13" ht="30" outlineLevel="2" x14ac:dyDescent="0.25">
      <c r="A494" s="44" t="s">
        <v>282</v>
      </c>
      <c r="B494" s="274">
        <v>44470</v>
      </c>
      <c r="C494" s="44" t="s">
        <v>1034</v>
      </c>
      <c r="D494" s="275">
        <v>62902669209</v>
      </c>
      <c r="E494" s="44" t="s">
        <v>719</v>
      </c>
      <c r="F494" s="44" t="s">
        <v>717</v>
      </c>
      <c r="G494" s="44"/>
      <c r="H494" s="44"/>
      <c r="I494" s="44"/>
      <c r="J494" s="44"/>
      <c r="K494" s="44"/>
      <c r="L494" s="44"/>
      <c r="M494" s="276">
        <v>676.85</v>
      </c>
    </row>
    <row r="495" spans="1:13" outlineLevel="2" x14ac:dyDescent="0.25">
      <c r="A495" s="44" t="s">
        <v>282</v>
      </c>
      <c r="B495" s="274">
        <v>44470</v>
      </c>
      <c r="C495" s="44" t="s">
        <v>1034</v>
      </c>
      <c r="D495" s="275">
        <v>65100019280</v>
      </c>
      <c r="E495" s="44" t="s">
        <v>720</v>
      </c>
      <c r="F495" s="44" t="s">
        <v>721</v>
      </c>
      <c r="G495" s="44"/>
      <c r="H495" s="44"/>
      <c r="I495" s="44"/>
      <c r="J495" s="44"/>
      <c r="K495" s="44"/>
      <c r="L495" s="44"/>
      <c r="M495" s="276">
        <v>1922</v>
      </c>
    </row>
    <row r="496" spans="1:13" outlineLevel="2" x14ac:dyDescent="0.25">
      <c r="A496" s="44" t="s">
        <v>282</v>
      </c>
      <c r="B496" s="274">
        <v>44470</v>
      </c>
      <c r="C496" s="44" t="s">
        <v>1034</v>
      </c>
      <c r="D496" s="275">
        <v>65100019280</v>
      </c>
      <c r="E496" s="44" t="s">
        <v>720</v>
      </c>
      <c r="F496" s="44" t="s">
        <v>722</v>
      </c>
      <c r="G496" s="44"/>
      <c r="H496" s="44"/>
      <c r="I496" s="44"/>
      <c r="J496" s="44"/>
      <c r="K496" s="44"/>
      <c r="L496" s="44"/>
      <c r="M496" s="276">
        <v>272</v>
      </c>
    </row>
    <row r="497" spans="1:13" outlineLevel="2" x14ac:dyDescent="0.25">
      <c r="A497" s="44" t="s">
        <v>282</v>
      </c>
      <c r="B497" s="274">
        <v>44470</v>
      </c>
      <c r="C497" s="44" t="s">
        <v>1034</v>
      </c>
      <c r="D497" s="275">
        <v>501300168825</v>
      </c>
      <c r="E497" s="44" t="s">
        <v>723</v>
      </c>
      <c r="F497" s="44" t="s">
        <v>717</v>
      </c>
      <c r="G497" s="44"/>
      <c r="H497" s="44"/>
      <c r="I497" s="44"/>
      <c r="J497" s="44"/>
      <c r="K497" s="44"/>
      <c r="L497" s="44"/>
      <c r="M497" s="276">
        <v>391.46</v>
      </c>
    </row>
    <row r="498" spans="1:13" ht="30" outlineLevel="2" x14ac:dyDescent="0.25">
      <c r="A498" s="44" t="s">
        <v>282</v>
      </c>
      <c r="B498" s="274">
        <v>44473</v>
      </c>
      <c r="C498" s="44" t="s">
        <v>1034</v>
      </c>
      <c r="D498" s="275">
        <v>62902692645</v>
      </c>
      <c r="E498" s="44" t="s">
        <v>719</v>
      </c>
      <c r="F498" s="44" t="s">
        <v>717</v>
      </c>
      <c r="G498" s="44"/>
      <c r="H498" s="44"/>
      <c r="I498" s="44"/>
      <c r="J498" s="44"/>
      <c r="K498" s="44"/>
      <c r="L498" s="44"/>
      <c r="M498" s="276">
        <v>107.27</v>
      </c>
    </row>
    <row r="499" spans="1:13" outlineLevel="2" x14ac:dyDescent="0.25">
      <c r="A499" s="44" t="s">
        <v>282</v>
      </c>
      <c r="B499" s="274">
        <v>44473</v>
      </c>
      <c r="C499" s="44" t="s">
        <v>1034</v>
      </c>
      <c r="D499" s="275">
        <v>501300176437</v>
      </c>
      <c r="E499" s="44" t="s">
        <v>723</v>
      </c>
      <c r="F499" s="44" t="s">
        <v>717</v>
      </c>
      <c r="G499" s="44"/>
      <c r="H499" s="44"/>
      <c r="I499" s="44"/>
      <c r="J499" s="44"/>
      <c r="K499" s="44"/>
      <c r="L499" s="44"/>
      <c r="M499" s="276">
        <v>502.17</v>
      </c>
    </row>
    <row r="500" spans="1:13" outlineLevel="2" x14ac:dyDescent="0.25">
      <c r="A500" s="44" t="s">
        <v>282</v>
      </c>
      <c r="B500" s="274">
        <v>44474</v>
      </c>
      <c r="C500" s="44" t="s">
        <v>1034</v>
      </c>
      <c r="D500" s="275">
        <v>200003020</v>
      </c>
      <c r="E500" s="44" t="s">
        <v>758</v>
      </c>
      <c r="F500" s="44" t="s">
        <v>809</v>
      </c>
      <c r="G500" s="44"/>
      <c r="H500" s="44"/>
      <c r="I500" s="44"/>
      <c r="J500" s="44"/>
      <c r="K500" s="44"/>
      <c r="L500" s="44"/>
      <c r="M500" s="276">
        <v>92500</v>
      </c>
    </row>
    <row r="501" spans="1:13" outlineLevel="2" x14ac:dyDescent="0.25">
      <c r="A501" s="44" t="s">
        <v>282</v>
      </c>
      <c r="B501" s="274">
        <v>44475</v>
      </c>
      <c r="C501" s="44" t="s">
        <v>1034</v>
      </c>
      <c r="D501" s="275">
        <v>2900045090</v>
      </c>
      <c r="E501" s="44" t="s">
        <v>810</v>
      </c>
      <c r="F501" s="44" t="s">
        <v>811</v>
      </c>
      <c r="G501" s="44"/>
      <c r="H501" s="44"/>
      <c r="I501" s="44"/>
      <c r="J501" s="44"/>
      <c r="K501" s="44"/>
      <c r="L501" s="44"/>
      <c r="M501" s="276">
        <v>88794.02</v>
      </c>
    </row>
    <row r="502" spans="1:13" outlineLevel="2" x14ac:dyDescent="0.25">
      <c r="A502" s="44" t="s">
        <v>282</v>
      </c>
      <c r="B502" s="274">
        <v>44488</v>
      </c>
      <c r="C502" s="44" t="s">
        <v>1034</v>
      </c>
      <c r="D502" s="275">
        <v>1100008087</v>
      </c>
      <c r="E502" s="44" t="s">
        <v>812</v>
      </c>
      <c r="F502" s="44" t="s">
        <v>813</v>
      </c>
      <c r="G502" s="44"/>
      <c r="H502" s="44"/>
      <c r="I502" s="44"/>
      <c r="J502" s="44"/>
      <c r="K502" s="44"/>
      <c r="L502" s="44"/>
      <c r="M502" s="276">
        <v>987.64</v>
      </c>
    </row>
    <row r="503" spans="1:13" outlineLevel="2" x14ac:dyDescent="0.25">
      <c r="A503" s="44" t="s">
        <v>282</v>
      </c>
      <c r="B503" s="274">
        <v>44488</v>
      </c>
      <c r="C503" s="44" t="s">
        <v>1034</v>
      </c>
      <c r="D503" s="275">
        <v>1100008087</v>
      </c>
      <c r="E503" s="44" t="s">
        <v>812</v>
      </c>
      <c r="F503" s="44" t="s">
        <v>814</v>
      </c>
      <c r="G503" s="44"/>
      <c r="H503" s="44"/>
      <c r="I503" s="44"/>
      <c r="J503" s="44"/>
      <c r="K503" s="44"/>
      <c r="L503" s="44"/>
      <c r="M503" s="276">
        <v>2760.9</v>
      </c>
    </row>
    <row r="504" spans="1:13" outlineLevel="2" x14ac:dyDescent="0.25">
      <c r="A504" s="44" t="s">
        <v>282</v>
      </c>
      <c r="B504" s="274">
        <v>44491</v>
      </c>
      <c r="C504" s="44" t="s">
        <v>1034</v>
      </c>
      <c r="D504" s="275">
        <v>10400701977</v>
      </c>
      <c r="E504" s="44" t="s">
        <v>716</v>
      </c>
      <c r="F504" s="44" t="s">
        <v>717</v>
      </c>
      <c r="G504" s="44"/>
      <c r="H504" s="44"/>
      <c r="I504" s="44"/>
      <c r="J504" s="44"/>
      <c r="K504" s="44"/>
      <c r="L504" s="44"/>
      <c r="M504" s="276">
        <v>262.81</v>
      </c>
    </row>
    <row r="505" spans="1:13" outlineLevel="2" x14ac:dyDescent="0.25">
      <c r="A505" s="44" t="s">
        <v>282</v>
      </c>
      <c r="B505" s="274">
        <v>44491</v>
      </c>
      <c r="C505" s="44" t="s">
        <v>1034</v>
      </c>
      <c r="D505" s="275">
        <v>10400754323</v>
      </c>
      <c r="E505" s="44" t="s">
        <v>716</v>
      </c>
      <c r="F505" s="44" t="s">
        <v>717</v>
      </c>
      <c r="G505" s="44"/>
      <c r="H505" s="44"/>
      <c r="I505" s="44"/>
      <c r="J505" s="44"/>
      <c r="K505" s="44"/>
      <c r="L505" s="44"/>
      <c r="M505" s="276">
        <v>276.86</v>
      </c>
    </row>
    <row r="506" spans="1:13" outlineLevel="2" x14ac:dyDescent="0.25">
      <c r="A506" s="44" t="s">
        <v>282</v>
      </c>
      <c r="B506" s="274">
        <v>44494</v>
      </c>
      <c r="C506" s="44" t="s">
        <v>1034</v>
      </c>
      <c r="D506" s="275">
        <v>200007577</v>
      </c>
      <c r="E506" s="44" t="s">
        <v>815</v>
      </c>
      <c r="F506" s="44" t="s">
        <v>816</v>
      </c>
      <c r="G506" s="44"/>
      <c r="H506" s="44"/>
      <c r="I506" s="44"/>
      <c r="J506" s="44"/>
      <c r="K506" s="44"/>
      <c r="L506" s="44"/>
      <c r="M506" s="276">
        <v>6942.15</v>
      </c>
    </row>
    <row r="507" spans="1:13" outlineLevel="2" x14ac:dyDescent="0.25">
      <c r="A507" s="44" t="s">
        <v>282</v>
      </c>
      <c r="B507" s="274">
        <v>44496</v>
      </c>
      <c r="C507" s="44" t="s">
        <v>1034</v>
      </c>
      <c r="D507" s="275">
        <v>300000103</v>
      </c>
      <c r="E507" s="44" t="s">
        <v>728</v>
      </c>
      <c r="F507" s="44" t="s">
        <v>817</v>
      </c>
      <c r="G507" s="44"/>
      <c r="H507" s="44"/>
      <c r="I507" s="44"/>
      <c r="J507" s="44"/>
      <c r="K507" s="44"/>
      <c r="L507" s="44"/>
      <c r="M507" s="276">
        <v>11500</v>
      </c>
    </row>
    <row r="508" spans="1:13" outlineLevel="2" x14ac:dyDescent="0.25">
      <c r="A508" s="44" t="s">
        <v>282</v>
      </c>
      <c r="B508" s="274">
        <v>44496</v>
      </c>
      <c r="C508" s="44" t="s">
        <v>1034</v>
      </c>
      <c r="D508" s="275">
        <v>65100019922</v>
      </c>
      <c r="E508" s="44" t="s">
        <v>720</v>
      </c>
      <c r="F508" s="44" t="s">
        <v>726</v>
      </c>
      <c r="G508" s="44"/>
      <c r="H508" s="44"/>
      <c r="I508" s="44"/>
      <c r="J508" s="44"/>
      <c r="K508" s="44"/>
      <c r="L508" s="44"/>
      <c r="M508" s="276">
        <v>1922</v>
      </c>
    </row>
    <row r="509" spans="1:13" outlineLevel="2" x14ac:dyDescent="0.25">
      <c r="A509" s="44" t="s">
        <v>282</v>
      </c>
      <c r="B509" s="274">
        <v>44496</v>
      </c>
      <c r="C509" s="44" t="s">
        <v>1034</v>
      </c>
      <c r="D509" s="275">
        <v>65100019922</v>
      </c>
      <c r="E509" s="44" t="s">
        <v>720</v>
      </c>
      <c r="F509" s="44" t="s">
        <v>727</v>
      </c>
      <c r="G509" s="44"/>
      <c r="H509" s="44"/>
      <c r="I509" s="44"/>
      <c r="J509" s="44"/>
      <c r="K509" s="44"/>
      <c r="L509" s="44"/>
      <c r="M509" s="276">
        <v>272</v>
      </c>
    </row>
    <row r="510" spans="1:13" outlineLevel="2" x14ac:dyDescent="0.25">
      <c r="A510" s="44" t="s">
        <v>282</v>
      </c>
      <c r="B510" s="274">
        <v>44499</v>
      </c>
      <c r="C510" s="44" t="s">
        <v>1034</v>
      </c>
      <c r="D510" s="275">
        <v>200000805</v>
      </c>
      <c r="E510" s="44" t="s">
        <v>818</v>
      </c>
      <c r="F510" s="44" t="s">
        <v>819</v>
      </c>
      <c r="G510" s="44"/>
      <c r="H510" s="44"/>
      <c r="I510" s="44"/>
      <c r="J510" s="44"/>
      <c r="K510" s="44"/>
      <c r="L510" s="44"/>
      <c r="M510" s="276">
        <v>31405</v>
      </c>
    </row>
    <row r="511" spans="1:13" outlineLevel="2" x14ac:dyDescent="0.25">
      <c r="A511" s="44" t="s">
        <v>282</v>
      </c>
      <c r="B511" s="274">
        <v>44491</v>
      </c>
      <c r="C511" s="44" t="s">
        <v>1032</v>
      </c>
      <c r="D511" s="275">
        <v>6623</v>
      </c>
      <c r="E511" s="44" t="s">
        <v>846</v>
      </c>
      <c r="F511" s="44" t="s">
        <v>213</v>
      </c>
      <c r="G511" s="44" t="s">
        <v>864</v>
      </c>
      <c r="H511" s="44"/>
      <c r="I511" s="44"/>
      <c r="J511" s="44"/>
      <c r="K511" s="44"/>
      <c r="L511" s="44"/>
      <c r="M511" s="276">
        <v>84.02</v>
      </c>
    </row>
    <row r="512" spans="1:13" outlineLevel="2" x14ac:dyDescent="0.25">
      <c r="A512" s="44" t="s">
        <v>282</v>
      </c>
      <c r="B512" s="274">
        <v>44490</v>
      </c>
      <c r="C512" s="44" t="s">
        <v>1036</v>
      </c>
      <c r="D512" s="275">
        <v>100004968</v>
      </c>
      <c r="E512" s="44" t="s">
        <v>1001</v>
      </c>
      <c r="F512" s="44" t="s">
        <v>934</v>
      </c>
      <c r="G512" s="44" t="s">
        <v>918</v>
      </c>
      <c r="H512" s="44">
        <v>0</v>
      </c>
      <c r="I512" s="44">
        <v>0</v>
      </c>
      <c r="J512" s="44">
        <v>0</v>
      </c>
      <c r="K512" s="44">
        <v>1</v>
      </c>
      <c r="L512" s="44">
        <v>300</v>
      </c>
      <c r="M512" s="269">
        <f>L512-(H512+I512+J512)*K512</f>
        <v>300</v>
      </c>
    </row>
    <row r="513" spans="1:13" outlineLevel="2" x14ac:dyDescent="0.25">
      <c r="A513" s="44" t="s">
        <v>282</v>
      </c>
      <c r="B513" s="274">
        <v>44498</v>
      </c>
      <c r="C513" s="44" t="s">
        <v>1036</v>
      </c>
      <c r="D513" s="275">
        <v>100004989</v>
      </c>
      <c r="E513" s="44" t="s">
        <v>716</v>
      </c>
      <c r="F513" s="44" t="s">
        <v>717</v>
      </c>
      <c r="G513" s="44" t="s">
        <v>1002</v>
      </c>
      <c r="H513" s="44">
        <v>111.07425000000001</v>
      </c>
      <c r="I513" s="44">
        <v>0</v>
      </c>
      <c r="J513" s="44">
        <v>0</v>
      </c>
      <c r="K513" s="44">
        <v>1</v>
      </c>
      <c r="L513" s="44">
        <v>640</v>
      </c>
      <c r="M513" s="269">
        <f>L513-(H513+I513+J513)*K513</f>
        <v>528.92574999999999</v>
      </c>
    </row>
    <row r="514" spans="1:13" outlineLevel="2" x14ac:dyDescent="0.25">
      <c r="A514" s="44" t="s">
        <v>282</v>
      </c>
      <c r="B514" s="274">
        <v>44498</v>
      </c>
      <c r="C514" s="44" t="s">
        <v>1036</v>
      </c>
      <c r="D514" s="275">
        <v>100004989</v>
      </c>
      <c r="E514" s="44" t="s">
        <v>1003</v>
      </c>
      <c r="F514" s="44" t="s">
        <v>1004</v>
      </c>
      <c r="G514" s="44" t="s">
        <v>1002</v>
      </c>
      <c r="H514" s="44">
        <v>0</v>
      </c>
      <c r="I514" s="44">
        <v>0</v>
      </c>
      <c r="J514" s="44">
        <v>0</v>
      </c>
      <c r="K514" s="44">
        <v>1</v>
      </c>
      <c r="L514" s="44">
        <v>520</v>
      </c>
      <c r="M514" s="269">
        <f>L514-(H514+I514+J514)*K514</f>
        <v>520</v>
      </c>
    </row>
    <row r="515" spans="1:13" ht="30" outlineLevel="2" x14ac:dyDescent="0.25">
      <c r="A515" s="44" t="s">
        <v>282</v>
      </c>
      <c r="B515" s="274">
        <v>44498</v>
      </c>
      <c r="C515" s="44" t="s">
        <v>1036</v>
      </c>
      <c r="D515" s="275">
        <v>100004989</v>
      </c>
      <c r="E515" s="44" t="s">
        <v>915</v>
      </c>
      <c r="F515" s="44" t="s">
        <v>717</v>
      </c>
      <c r="G515" s="44" t="s">
        <v>1002</v>
      </c>
      <c r="H515" s="44">
        <v>173.55449999999999</v>
      </c>
      <c r="I515" s="44">
        <v>0</v>
      </c>
      <c r="J515" s="44">
        <v>0</v>
      </c>
      <c r="K515" s="44">
        <v>1</v>
      </c>
      <c r="L515" s="277">
        <v>1600</v>
      </c>
      <c r="M515" s="269">
        <f>L515-(H515+I515+J515)*K515</f>
        <v>1426.4455</v>
      </c>
    </row>
    <row r="516" spans="1:13" outlineLevel="2" x14ac:dyDescent="0.25">
      <c r="A516" s="44" t="s">
        <v>282</v>
      </c>
      <c r="B516" s="274">
        <v>44498</v>
      </c>
      <c r="C516" s="44" t="s">
        <v>1036</v>
      </c>
      <c r="D516" s="275">
        <v>100004989</v>
      </c>
      <c r="E516" s="44" t="s">
        <v>1005</v>
      </c>
      <c r="F516" s="44" t="s">
        <v>1004</v>
      </c>
      <c r="G516" s="44" t="s">
        <v>1002</v>
      </c>
      <c r="H516" s="44">
        <v>0</v>
      </c>
      <c r="I516" s="44">
        <v>0</v>
      </c>
      <c r="J516" s="44">
        <v>0</v>
      </c>
      <c r="K516" s="44">
        <v>1</v>
      </c>
      <c r="L516" s="277">
        <v>2090</v>
      </c>
      <c r="M516" s="269">
        <f>L516-(H516+I516+J516)*K516</f>
        <v>2090</v>
      </c>
    </row>
    <row r="517" spans="1:13" outlineLevel="1" x14ac:dyDescent="0.25">
      <c r="A517" s="282" t="s">
        <v>653</v>
      </c>
      <c r="B517" s="741"/>
      <c r="C517" s="742"/>
      <c r="D517" s="742"/>
      <c r="E517" s="742"/>
      <c r="F517" s="742"/>
      <c r="G517" s="743"/>
      <c r="H517" s="283"/>
      <c r="I517" s="283"/>
      <c r="J517" s="283"/>
      <c r="K517" s="283"/>
      <c r="L517" s="284"/>
      <c r="M517" s="285">
        <f>SUBTOTAL(9,M492:M516)</f>
        <v>247737.79124999998</v>
      </c>
    </row>
    <row r="518" spans="1:13" outlineLevel="2" x14ac:dyDescent="0.25">
      <c r="A518" s="44" t="s">
        <v>450</v>
      </c>
      <c r="B518" s="274">
        <v>44470</v>
      </c>
      <c r="C518" s="44" t="s">
        <v>1034</v>
      </c>
      <c r="D518" s="275">
        <v>500033638</v>
      </c>
      <c r="E518" s="44" t="s">
        <v>713</v>
      </c>
      <c r="F518" s="44" t="s">
        <v>714</v>
      </c>
      <c r="G518" s="44"/>
      <c r="H518" s="44"/>
      <c r="I518" s="44"/>
      <c r="J518" s="44"/>
      <c r="K518" s="44"/>
      <c r="L518" s="44"/>
      <c r="M518" s="276">
        <v>1252.6099999999999</v>
      </c>
    </row>
    <row r="519" spans="1:13" outlineLevel="1" x14ac:dyDescent="0.25">
      <c r="A519" s="286" t="s">
        <v>1076</v>
      </c>
      <c r="B519" s="738"/>
      <c r="C519" s="739"/>
      <c r="D519" s="739"/>
      <c r="E519" s="739"/>
      <c r="F519" s="739"/>
      <c r="G519" s="740"/>
      <c r="H519" s="287"/>
      <c r="I519" s="287"/>
      <c r="J519" s="287"/>
      <c r="K519" s="287"/>
      <c r="L519" s="287"/>
      <c r="M519" s="288">
        <f>SUBTOTAL(9,M518:M518)</f>
        <v>1252.6099999999999</v>
      </c>
    </row>
    <row r="520" spans="1:13" outlineLevel="2" x14ac:dyDescent="0.25">
      <c r="A520" s="44" t="s">
        <v>452</v>
      </c>
      <c r="B520" s="274">
        <v>44470</v>
      </c>
      <c r="C520" s="44" t="s">
        <v>1034</v>
      </c>
      <c r="D520" s="275">
        <v>500033638</v>
      </c>
      <c r="E520" s="44" t="s">
        <v>713</v>
      </c>
      <c r="F520" s="44" t="s">
        <v>714</v>
      </c>
      <c r="G520" s="44"/>
      <c r="H520" s="44"/>
      <c r="I520" s="44"/>
      <c r="J520" s="44"/>
      <c r="K520" s="44"/>
      <c r="L520" s="44"/>
      <c r="M520" s="276">
        <v>1252.6099999999999</v>
      </c>
    </row>
    <row r="521" spans="1:13" outlineLevel="1" x14ac:dyDescent="0.25">
      <c r="A521" s="286" t="s">
        <v>1077</v>
      </c>
      <c r="B521" s="738"/>
      <c r="C521" s="739"/>
      <c r="D521" s="739"/>
      <c r="E521" s="739"/>
      <c r="F521" s="739"/>
      <c r="G521" s="740"/>
      <c r="H521" s="287"/>
      <c r="I521" s="287"/>
      <c r="J521" s="287"/>
      <c r="K521" s="287"/>
      <c r="L521" s="287"/>
      <c r="M521" s="288">
        <f>SUBTOTAL(9,M520:M520)</f>
        <v>1252.6099999999999</v>
      </c>
    </row>
    <row r="522" spans="1:13" outlineLevel="2" x14ac:dyDescent="0.25">
      <c r="A522" s="44" t="s">
        <v>285</v>
      </c>
      <c r="B522" s="274">
        <v>44470</v>
      </c>
      <c r="C522" s="44" t="s">
        <v>1034</v>
      </c>
      <c r="D522" s="275">
        <v>500033638</v>
      </c>
      <c r="E522" s="44" t="s">
        <v>713</v>
      </c>
      <c r="F522" s="44" t="s">
        <v>714</v>
      </c>
      <c r="G522" s="44"/>
      <c r="H522" s="44"/>
      <c r="I522" s="44"/>
      <c r="J522" s="44"/>
      <c r="K522" s="44"/>
      <c r="L522" s="44"/>
      <c r="M522" s="276">
        <v>1791.53</v>
      </c>
    </row>
    <row r="523" spans="1:13" outlineLevel="2" x14ac:dyDescent="0.25">
      <c r="A523" s="44" t="s">
        <v>285</v>
      </c>
      <c r="B523" s="274">
        <v>44470</v>
      </c>
      <c r="C523" s="44" t="s">
        <v>1034</v>
      </c>
      <c r="D523" s="275">
        <v>10400572393</v>
      </c>
      <c r="E523" s="44" t="s">
        <v>716</v>
      </c>
      <c r="F523" s="44" t="s">
        <v>717</v>
      </c>
      <c r="G523" s="44"/>
      <c r="H523" s="44"/>
      <c r="I523" s="44"/>
      <c r="J523" s="44"/>
      <c r="K523" s="44"/>
      <c r="L523" s="44"/>
      <c r="M523" s="276">
        <v>1223.1500000000001</v>
      </c>
    </row>
    <row r="524" spans="1:13" outlineLevel="2" x14ac:dyDescent="0.25">
      <c r="A524" s="44" t="s">
        <v>285</v>
      </c>
      <c r="B524" s="274">
        <v>44470</v>
      </c>
      <c r="C524" s="44" t="s">
        <v>1034</v>
      </c>
      <c r="D524" s="275">
        <v>10400578195</v>
      </c>
      <c r="E524" s="44" t="s">
        <v>716</v>
      </c>
      <c r="F524" s="44" t="s">
        <v>717</v>
      </c>
      <c r="G524" s="44"/>
      <c r="H524" s="44"/>
      <c r="I524" s="44"/>
      <c r="J524" s="44"/>
      <c r="K524" s="44"/>
      <c r="L524" s="44"/>
      <c r="M524" s="276">
        <v>996.8</v>
      </c>
    </row>
    <row r="525" spans="1:13" outlineLevel="2" x14ac:dyDescent="0.25">
      <c r="A525" s="44" t="s">
        <v>285</v>
      </c>
      <c r="B525" s="274">
        <v>44470</v>
      </c>
      <c r="C525" s="44" t="s">
        <v>1034</v>
      </c>
      <c r="D525" s="275">
        <v>60000274229</v>
      </c>
      <c r="E525" s="44" t="s">
        <v>718</v>
      </c>
      <c r="F525" s="44" t="s">
        <v>717</v>
      </c>
      <c r="G525" s="44"/>
      <c r="H525" s="44"/>
      <c r="I525" s="44"/>
      <c r="J525" s="44"/>
      <c r="K525" s="44"/>
      <c r="L525" s="44"/>
      <c r="M525" s="276">
        <v>6830.59</v>
      </c>
    </row>
    <row r="526" spans="1:13" outlineLevel="2" x14ac:dyDescent="0.25">
      <c r="A526" s="44" t="s">
        <v>285</v>
      </c>
      <c r="B526" s="274">
        <v>44470</v>
      </c>
      <c r="C526" s="44" t="s">
        <v>1034</v>
      </c>
      <c r="D526" s="275">
        <v>60000285996</v>
      </c>
      <c r="E526" s="44" t="s">
        <v>718</v>
      </c>
      <c r="F526" s="44" t="s">
        <v>717</v>
      </c>
      <c r="G526" s="44"/>
      <c r="H526" s="44"/>
      <c r="I526" s="44"/>
      <c r="J526" s="44"/>
      <c r="K526" s="44"/>
      <c r="L526" s="44"/>
      <c r="M526" s="276">
        <v>6296.31</v>
      </c>
    </row>
    <row r="527" spans="1:13" ht="30" outlineLevel="2" x14ac:dyDescent="0.25">
      <c r="A527" s="44" t="s">
        <v>285</v>
      </c>
      <c r="B527" s="274">
        <v>44473</v>
      </c>
      <c r="C527" s="44" t="s">
        <v>1034</v>
      </c>
      <c r="D527" s="275">
        <v>6100301594</v>
      </c>
      <c r="E527" s="44" t="s">
        <v>730</v>
      </c>
      <c r="F527" s="44" t="s">
        <v>717</v>
      </c>
      <c r="G527" s="44"/>
      <c r="H527" s="44"/>
      <c r="I527" s="44"/>
      <c r="J527" s="44"/>
      <c r="K527" s="44"/>
      <c r="L527" s="44"/>
      <c r="M527" s="276">
        <v>686</v>
      </c>
    </row>
    <row r="528" spans="1:13" outlineLevel="2" x14ac:dyDescent="0.25">
      <c r="A528" s="44" t="s">
        <v>285</v>
      </c>
      <c r="B528" s="274">
        <v>44474</v>
      </c>
      <c r="C528" s="44" t="s">
        <v>1034</v>
      </c>
      <c r="D528" s="275">
        <v>200000058</v>
      </c>
      <c r="E528" s="44" t="s">
        <v>733</v>
      </c>
      <c r="F528" s="44" t="s">
        <v>746</v>
      </c>
      <c r="G528" s="44"/>
      <c r="H528" s="44"/>
      <c r="I528" s="44"/>
      <c r="J528" s="44"/>
      <c r="K528" s="44"/>
      <c r="L528" s="44"/>
      <c r="M528" s="276">
        <v>900</v>
      </c>
    </row>
    <row r="529" spans="1:13" outlineLevel="2" x14ac:dyDescent="0.25">
      <c r="A529" s="44" t="s">
        <v>285</v>
      </c>
      <c r="B529" s="274">
        <v>44474</v>
      </c>
      <c r="C529" s="44" t="s">
        <v>1034</v>
      </c>
      <c r="D529" s="275">
        <v>200000058</v>
      </c>
      <c r="E529" s="44" t="s">
        <v>733</v>
      </c>
      <c r="F529" s="44" t="s">
        <v>738</v>
      </c>
      <c r="G529" s="44"/>
      <c r="H529" s="44"/>
      <c r="I529" s="44"/>
      <c r="J529" s="44"/>
      <c r="K529" s="44"/>
      <c r="L529" s="44"/>
      <c r="M529" s="276">
        <v>2500</v>
      </c>
    </row>
    <row r="530" spans="1:13" outlineLevel="2" x14ac:dyDescent="0.25">
      <c r="A530" s="44" t="s">
        <v>285</v>
      </c>
      <c r="B530" s="274">
        <v>44474</v>
      </c>
      <c r="C530" s="44" t="s">
        <v>1034</v>
      </c>
      <c r="D530" s="275">
        <v>200000058</v>
      </c>
      <c r="E530" s="44" t="s">
        <v>733</v>
      </c>
      <c r="F530" s="44" t="s">
        <v>820</v>
      </c>
      <c r="G530" s="44"/>
      <c r="H530" s="44"/>
      <c r="I530" s="44"/>
      <c r="J530" s="44"/>
      <c r="K530" s="44"/>
      <c r="L530" s="44"/>
      <c r="M530" s="276">
        <v>800</v>
      </c>
    </row>
    <row r="531" spans="1:13" outlineLevel="2" x14ac:dyDescent="0.25">
      <c r="A531" s="44" t="s">
        <v>285</v>
      </c>
      <c r="B531" s="274">
        <v>44491</v>
      </c>
      <c r="C531" s="44" t="s">
        <v>1034</v>
      </c>
      <c r="D531" s="275">
        <v>10400638511</v>
      </c>
      <c r="E531" s="44" t="s">
        <v>716</v>
      </c>
      <c r="F531" s="44" t="s">
        <v>717</v>
      </c>
      <c r="G531" s="44"/>
      <c r="H531" s="44"/>
      <c r="I531" s="44"/>
      <c r="J531" s="44"/>
      <c r="K531" s="44"/>
      <c r="L531" s="44"/>
      <c r="M531" s="276">
        <v>289.26</v>
      </c>
    </row>
    <row r="532" spans="1:13" outlineLevel="2" x14ac:dyDescent="0.25">
      <c r="A532" s="44" t="s">
        <v>285</v>
      </c>
      <c r="B532" s="274">
        <v>44491</v>
      </c>
      <c r="C532" s="44" t="s">
        <v>1034</v>
      </c>
      <c r="D532" s="275">
        <v>10400701977</v>
      </c>
      <c r="E532" s="44" t="s">
        <v>716</v>
      </c>
      <c r="F532" s="44" t="s">
        <v>717</v>
      </c>
      <c r="G532" s="44"/>
      <c r="H532" s="44"/>
      <c r="I532" s="44"/>
      <c r="J532" s="44"/>
      <c r="K532" s="44"/>
      <c r="L532" s="44"/>
      <c r="M532" s="276">
        <v>2510.7399999999998</v>
      </c>
    </row>
    <row r="533" spans="1:13" outlineLevel="2" x14ac:dyDescent="0.25">
      <c r="A533" s="44" t="s">
        <v>285</v>
      </c>
      <c r="B533" s="274">
        <v>44491</v>
      </c>
      <c r="C533" s="44" t="s">
        <v>1034</v>
      </c>
      <c r="D533" s="275">
        <v>10400754323</v>
      </c>
      <c r="E533" s="44" t="s">
        <v>716</v>
      </c>
      <c r="F533" s="44" t="s">
        <v>717</v>
      </c>
      <c r="G533" s="44"/>
      <c r="H533" s="44"/>
      <c r="I533" s="44"/>
      <c r="J533" s="44"/>
      <c r="K533" s="44"/>
      <c r="L533" s="44"/>
      <c r="M533" s="276">
        <v>104.12</v>
      </c>
    </row>
    <row r="534" spans="1:13" outlineLevel="2" x14ac:dyDescent="0.25">
      <c r="A534" s="44" t="s">
        <v>285</v>
      </c>
      <c r="B534" s="274">
        <v>44500</v>
      </c>
      <c r="C534" s="44" t="s">
        <v>1034</v>
      </c>
      <c r="D534" s="275">
        <v>60000298248</v>
      </c>
      <c r="E534" s="44" t="s">
        <v>718</v>
      </c>
      <c r="F534" s="44" t="s">
        <v>717</v>
      </c>
      <c r="G534" s="44"/>
      <c r="H534" s="44"/>
      <c r="I534" s="44"/>
      <c r="J534" s="44"/>
      <c r="K534" s="44"/>
      <c r="L534" s="44"/>
      <c r="M534" s="276">
        <v>7292.13</v>
      </c>
    </row>
    <row r="535" spans="1:13" ht="30" outlineLevel="2" x14ac:dyDescent="0.25">
      <c r="A535" s="44" t="s">
        <v>285</v>
      </c>
      <c r="B535" s="274">
        <v>44483</v>
      </c>
      <c r="C535" s="44" t="s">
        <v>1036</v>
      </c>
      <c r="D535" s="275">
        <v>100004950</v>
      </c>
      <c r="E535" s="44" t="s">
        <v>716</v>
      </c>
      <c r="F535" s="44" t="s">
        <v>717</v>
      </c>
      <c r="G535" s="44" t="s">
        <v>1006</v>
      </c>
      <c r="H535" s="44">
        <v>14.752058999999999</v>
      </c>
      <c r="I535" s="44">
        <v>0</v>
      </c>
      <c r="J535" s="44">
        <v>0</v>
      </c>
      <c r="K535" s="44">
        <v>1</v>
      </c>
      <c r="L535" s="44">
        <v>85</v>
      </c>
      <c r="M535" s="269">
        <f t="shared" ref="M535:M541" si="6">L535-(H535+I535+J535)*K535</f>
        <v>70.247940999999997</v>
      </c>
    </row>
    <row r="536" spans="1:13" ht="30" outlineLevel="2" x14ac:dyDescent="0.25">
      <c r="A536" s="44" t="s">
        <v>285</v>
      </c>
      <c r="B536" s="274">
        <v>44483</v>
      </c>
      <c r="C536" s="44" t="s">
        <v>1036</v>
      </c>
      <c r="D536" s="275">
        <v>100004950</v>
      </c>
      <c r="E536" s="44" t="s">
        <v>716</v>
      </c>
      <c r="F536" s="44" t="s">
        <v>717</v>
      </c>
      <c r="G536" s="44" t="s">
        <v>1006</v>
      </c>
      <c r="H536" s="44">
        <v>38.181801</v>
      </c>
      <c r="I536" s="44">
        <v>0</v>
      </c>
      <c r="J536" s="44">
        <v>0</v>
      </c>
      <c r="K536" s="44">
        <v>2</v>
      </c>
      <c r="L536" s="44">
        <v>440</v>
      </c>
      <c r="M536" s="269">
        <f t="shared" si="6"/>
        <v>363.63639799999999</v>
      </c>
    </row>
    <row r="537" spans="1:13" ht="30" outlineLevel="2" x14ac:dyDescent="0.25">
      <c r="A537" s="44" t="s">
        <v>285</v>
      </c>
      <c r="B537" s="274">
        <v>44483</v>
      </c>
      <c r="C537" s="44" t="s">
        <v>1036</v>
      </c>
      <c r="D537" s="275">
        <v>100004950</v>
      </c>
      <c r="E537" s="44" t="s">
        <v>1007</v>
      </c>
      <c r="F537" s="44" t="s">
        <v>934</v>
      </c>
      <c r="G537" s="44" t="s">
        <v>1006</v>
      </c>
      <c r="H537" s="44">
        <v>0</v>
      </c>
      <c r="I537" s="44">
        <v>0</v>
      </c>
      <c r="J537" s="44">
        <v>0</v>
      </c>
      <c r="K537" s="44">
        <v>1</v>
      </c>
      <c r="L537" s="277">
        <v>5500</v>
      </c>
      <c r="M537" s="269">
        <f t="shared" si="6"/>
        <v>5500</v>
      </c>
    </row>
    <row r="538" spans="1:13" outlineLevel="2" x14ac:dyDescent="0.25">
      <c r="A538" s="44" t="s">
        <v>285</v>
      </c>
      <c r="B538" s="274">
        <v>44494</v>
      </c>
      <c r="C538" s="44" t="s">
        <v>1036</v>
      </c>
      <c r="D538" s="275">
        <v>100004972</v>
      </c>
      <c r="E538" s="44" t="s">
        <v>716</v>
      </c>
      <c r="F538" s="44" t="s">
        <v>717</v>
      </c>
      <c r="G538" s="44" t="s">
        <v>1008</v>
      </c>
      <c r="H538" s="44">
        <v>30.371880000000001</v>
      </c>
      <c r="I538" s="44">
        <v>0</v>
      </c>
      <c r="J538" s="44">
        <v>0</v>
      </c>
      <c r="K538" s="44">
        <v>2</v>
      </c>
      <c r="L538" s="44">
        <v>350</v>
      </c>
      <c r="M538" s="269">
        <f t="shared" si="6"/>
        <v>289.25623999999999</v>
      </c>
    </row>
    <row r="539" spans="1:13" outlineLevel="2" x14ac:dyDescent="0.25">
      <c r="A539" s="44" t="s">
        <v>285</v>
      </c>
      <c r="B539" s="274">
        <v>44494</v>
      </c>
      <c r="C539" s="44" t="s">
        <v>1036</v>
      </c>
      <c r="D539" s="275">
        <v>100004972</v>
      </c>
      <c r="E539" s="44" t="s">
        <v>716</v>
      </c>
      <c r="F539" s="44" t="s">
        <v>717</v>
      </c>
      <c r="G539" s="44" t="s">
        <v>1008</v>
      </c>
      <c r="H539" s="44">
        <v>38.181801</v>
      </c>
      <c r="I539" s="44">
        <v>0</v>
      </c>
      <c r="J539" s="44">
        <v>0</v>
      </c>
      <c r="K539" s="44">
        <v>2</v>
      </c>
      <c r="L539" s="44">
        <v>440</v>
      </c>
      <c r="M539" s="269">
        <f t="shared" si="6"/>
        <v>363.63639799999999</v>
      </c>
    </row>
    <row r="540" spans="1:13" ht="30" outlineLevel="2" x14ac:dyDescent="0.25">
      <c r="A540" s="44" t="s">
        <v>285</v>
      </c>
      <c r="B540" s="274">
        <v>44494</v>
      </c>
      <c r="C540" s="44" t="s">
        <v>1036</v>
      </c>
      <c r="D540" s="275">
        <v>100004972</v>
      </c>
      <c r="E540" s="44" t="s">
        <v>915</v>
      </c>
      <c r="F540" s="44" t="s">
        <v>717</v>
      </c>
      <c r="G540" s="44" t="s">
        <v>1008</v>
      </c>
      <c r="H540" s="44">
        <v>27.768594</v>
      </c>
      <c r="I540" s="44">
        <v>0</v>
      </c>
      <c r="J540" s="44">
        <v>0</v>
      </c>
      <c r="K540" s="44">
        <v>4</v>
      </c>
      <c r="L540" s="44">
        <v>640</v>
      </c>
      <c r="M540" s="269">
        <f t="shared" si="6"/>
        <v>528.92562399999997</v>
      </c>
    </row>
    <row r="541" spans="1:13" ht="30" outlineLevel="2" x14ac:dyDescent="0.25">
      <c r="A541" s="44" t="s">
        <v>285</v>
      </c>
      <c r="B541" s="274">
        <v>44494</v>
      </c>
      <c r="C541" s="44" t="s">
        <v>1036</v>
      </c>
      <c r="D541" s="275">
        <v>100004972</v>
      </c>
      <c r="E541" s="44" t="s">
        <v>943</v>
      </c>
      <c r="F541" s="44" t="s">
        <v>717</v>
      </c>
      <c r="G541" s="44" t="s">
        <v>1008</v>
      </c>
      <c r="H541" s="44">
        <v>27.768594</v>
      </c>
      <c r="I541" s="44">
        <v>0</v>
      </c>
      <c r="J541" s="44">
        <v>0</v>
      </c>
      <c r="K541" s="44">
        <v>2</v>
      </c>
      <c r="L541" s="44">
        <v>320</v>
      </c>
      <c r="M541" s="269">
        <f t="shared" si="6"/>
        <v>264.46281199999999</v>
      </c>
    </row>
    <row r="542" spans="1:13" outlineLevel="1" x14ac:dyDescent="0.25">
      <c r="A542" s="282" t="s">
        <v>654</v>
      </c>
      <c r="B542" s="741"/>
      <c r="C542" s="742"/>
      <c r="D542" s="742"/>
      <c r="E542" s="742"/>
      <c r="F542" s="742"/>
      <c r="G542" s="743"/>
      <c r="H542" s="283"/>
      <c r="I542" s="283"/>
      <c r="J542" s="283"/>
      <c r="K542" s="283"/>
      <c r="L542" s="283"/>
      <c r="M542" s="285">
        <f>SUBTOTAL(9,M522:M541)</f>
        <v>39600.795413000007</v>
      </c>
    </row>
    <row r="543" spans="1:13" ht="45" outlineLevel="2" x14ac:dyDescent="0.25">
      <c r="A543" s="44" t="s">
        <v>258</v>
      </c>
      <c r="B543" s="274">
        <v>44476</v>
      </c>
      <c r="C543" s="44" t="s">
        <v>1034</v>
      </c>
      <c r="D543" s="275">
        <v>200000129</v>
      </c>
      <c r="E543" s="44" t="s">
        <v>736</v>
      </c>
      <c r="F543" s="44" t="s">
        <v>821</v>
      </c>
      <c r="G543" s="44"/>
      <c r="H543" s="44"/>
      <c r="I543" s="44"/>
      <c r="J543" s="44"/>
      <c r="K543" s="44"/>
      <c r="L543" s="44"/>
      <c r="M543" s="276">
        <v>65800</v>
      </c>
    </row>
    <row r="544" spans="1:13" outlineLevel="2" x14ac:dyDescent="0.25">
      <c r="A544" s="44" t="s">
        <v>258</v>
      </c>
      <c r="B544" s="274">
        <v>44488</v>
      </c>
      <c r="C544" s="44" t="s">
        <v>1032</v>
      </c>
      <c r="D544" s="275">
        <v>6619</v>
      </c>
      <c r="E544" s="44" t="s">
        <v>846</v>
      </c>
      <c r="F544" s="44" t="s">
        <v>902</v>
      </c>
      <c r="G544" s="44" t="s">
        <v>903</v>
      </c>
      <c r="H544" s="44"/>
      <c r="I544" s="44"/>
      <c r="J544" s="44"/>
      <c r="K544" s="44"/>
      <c r="L544" s="44"/>
      <c r="M544" s="276">
        <v>46.1</v>
      </c>
    </row>
    <row r="545" spans="1:13" ht="30" outlineLevel="2" x14ac:dyDescent="0.25">
      <c r="A545" s="44" t="s">
        <v>258</v>
      </c>
      <c r="B545" s="274">
        <v>44488</v>
      </c>
      <c r="C545" s="44" t="s">
        <v>1032</v>
      </c>
      <c r="D545" s="275">
        <v>6619</v>
      </c>
      <c r="E545" s="44" t="s">
        <v>846</v>
      </c>
      <c r="F545" s="44" t="s">
        <v>904</v>
      </c>
      <c r="G545" s="44" t="s">
        <v>897</v>
      </c>
      <c r="H545" s="44"/>
      <c r="I545" s="44"/>
      <c r="J545" s="44"/>
      <c r="K545" s="44"/>
      <c r="L545" s="44"/>
      <c r="M545" s="276">
        <v>360</v>
      </c>
    </row>
    <row r="546" spans="1:13" outlineLevel="2" x14ac:dyDescent="0.25">
      <c r="A546" s="44" t="s">
        <v>258</v>
      </c>
      <c r="B546" s="274">
        <v>44495</v>
      </c>
      <c r="C546" s="44" t="s">
        <v>1032</v>
      </c>
      <c r="D546" s="275">
        <v>6629</v>
      </c>
      <c r="E546" s="44" t="s">
        <v>846</v>
      </c>
      <c r="F546" s="44" t="s">
        <v>213</v>
      </c>
      <c r="G546" s="44" t="s">
        <v>864</v>
      </c>
      <c r="H546" s="44"/>
      <c r="I546" s="44"/>
      <c r="J546" s="44"/>
      <c r="K546" s="44"/>
      <c r="L546" s="44"/>
      <c r="M546" s="276">
        <v>84.02</v>
      </c>
    </row>
    <row r="547" spans="1:13" outlineLevel="1" x14ac:dyDescent="0.25">
      <c r="A547" s="286" t="s">
        <v>1078</v>
      </c>
      <c r="B547" s="738"/>
      <c r="C547" s="739"/>
      <c r="D547" s="739"/>
      <c r="E547" s="739"/>
      <c r="F547" s="739"/>
      <c r="G547" s="740"/>
      <c r="H547" s="287"/>
      <c r="I547" s="287"/>
      <c r="J547" s="287"/>
      <c r="K547" s="287"/>
      <c r="L547" s="287"/>
      <c r="M547" s="288">
        <f>SUBTOTAL(9,M543:M546)</f>
        <v>66290.12000000001</v>
      </c>
    </row>
    <row r="548" spans="1:13" outlineLevel="2" x14ac:dyDescent="0.25">
      <c r="A548" s="44" t="s">
        <v>155</v>
      </c>
      <c r="B548" s="274">
        <v>44495</v>
      </c>
      <c r="C548" s="44" t="s">
        <v>1034</v>
      </c>
      <c r="D548" s="275">
        <v>500003105</v>
      </c>
      <c r="E548" s="44" t="s">
        <v>724</v>
      </c>
      <c r="F548" s="44" t="s">
        <v>735</v>
      </c>
      <c r="G548" s="44"/>
      <c r="H548" s="44"/>
      <c r="I548" s="44"/>
      <c r="J548" s="44"/>
      <c r="K548" s="44"/>
      <c r="L548" s="44"/>
      <c r="M548" s="276">
        <v>432.31</v>
      </c>
    </row>
    <row r="549" spans="1:13" outlineLevel="2" x14ac:dyDescent="0.25">
      <c r="A549" s="44" t="s">
        <v>155</v>
      </c>
      <c r="B549" s="274">
        <v>44484</v>
      </c>
      <c r="C549" s="44" t="s">
        <v>1032</v>
      </c>
      <c r="D549" s="275">
        <v>6615</v>
      </c>
      <c r="E549" s="44" t="s">
        <v>846</v>
      </c>
      <c r="F549" s="44" t="s">
        <v>894</v>
      </c>
      <c r="G549" s="44" t="s">
        <v>895</v>
      </c>
      <c r="H549" s="44"/>
      <c r="I549" s="44"/>
      <c r="J549" s="44"/>
      <c r="K549" s="44"/>
      <c r="L549" s="44"/>
      <c r="M549" s="276">
        <v>710</v>
      </c>
    </row>
    <row r="550" spans="1:13" outlineLevel="2" x14ac:dyDescent="0.25">
      <c r="A550" s="44" t="s">
        <v>155</v>
      </c>
      <c r="B550" s="274">
        <v>44495</v>
      </c>
      <c r="C550" s="44" t="s">
        <v>1032</v>
      </c>
      <c r="D550" s="275">
        <v>6628</v>
      </c>
      <c r="E550" s="44" t="s">
        <v>846</v>
      </c>
      <c r="F550" s="44" t="s">
        <v>213</v>
      </c>
      <c r="G550" s="44" t="s">
        <v>864</v>
      </c>
      <c r="H550" s="44"/>
      <c r="I550" s="44"/>
      <c r="J550" s="44"/>
      <c r="K550" s="44"/>
      <c r="L550" s="44"/>
      <c r="M550" s="276">
        <v>84.02</v>
      </c>
    </row>
    <row r="551" spans="1:13" outlineLevel="1" x14ac:dyDescent="0.25">
      <c r="A551" s="286" t="s">
        <v>1079</v>
      </c>
      <c r="B551" s="738"/>
      <c r="C551" s="739"/>
      <c r="D551" s="739"/>
      <c r="E551" s="739"/>
      <c r="F551" s="739"/>
      <c r="G551" s="740"/>
      <c r="H551" s="287"/>
      <c r="I551" s="287"/>
      <c r="J551" s="287"/>
      <c r="K551" s="287"/>
      <c r="L551" s="287"/>
      <c r="M551" s="288">
        <f>SUBTOTAL(9,M548:M550)</f>
        <v>1226.33</v>
      </c>
    </row>
    <row r="552" spans="1:13" outlineLevel="2" x14ac:dyDescent="0.25">
      <c r="A552" s="44" t="s">
        <v>288</v>
      </c>
      <c r="B552" s="274">
        <v>44470</v>
      </c>
      <c r="C552" s="44" t="s">
        <v>1034</v>
      </c>
      <c r="D552" s="275">
        <v>500033638</v>
      </c>
      <c r="E552" s="44" t="s">
        <v>713</v>
      </c>
      <c r="F552" s="44" t="s">
        <v>714</v>
      </c>
      <c r="G552" s="44"/>
      <c r="H552" s="44"/>
      <c r="I552" s="44"/>
      <c r="J552" s="44"/>
      <c r="K552" s="44"/>
      <c r="L552" s="44"/>
      <c r="M552" s="276">
        <v>1791.53</v>
      </c>
    </row>
    <row r="553" spans="1:13" outlineLevel="2" x14ac:dyDescent="0.25">
      <c r="A553" s="44" t="s">
        <v>288</v>
      </c>
      <c r="B553" s="274">
        <v>44470</v>
      </c>
      <c r="C553" s="44" t="s">
        <v>1034</v>
      </c>
      <c r="D553" s="275">
        <v>10400572393</v>
      </c>
      <c r="E553" s="44" t="s">
        <v>716</v>
      </c>
      <c r="F553" s="44" t="s">
        <v>717</v>
      </c>
      <c r="G553" s="44"/>
      <c r="H553" s="44"/>
      <c r="I553" s="44"/>
      <c r="J553" s="44"/>
      <c r="K553" s="44"/>
      <c r="L553" s="44"/>
      <c r="M553" s="276">
        <v>115.7</v>
      </c>
    </row>
    <row r="554" spans="1:13" outlineLevel="2" x14ac:dyDescent="0.25">
      <c r="A554" s="44" t="s">
        <v>288</v>
      </c>
      <c r="B554" s="274">
        <v>44470</v>
      </c>
      <c r="C554" s="44" t="s">
        <v>1034</v>
      </c>
      <c r="D554" s="275">
        <v>10400578195</v>
      </c>
      <c r="E554" s="44" t="s">
        <v>716</v>
      </c>
      <c r="F554" s="44" t="s">
        <v>717</v>
      </c>
      <c r="G554" s="44"/>
      <c r="H554" s="44"/>
      <c r="I554" s="44"/>
      <c r="J554" s="44"/>
      <c r="K554" s="44"/>
      <c r="L554" s="44"/>
      <c r="M554" s="276">
        <v>2676.94</v>
      </c>
    </row>
    <row r="555" spans="1:13" outlineLevel="2" x14ac:dyDescent="0.25">
      <c r="A555" s="44" t="s">
        <v>288</v>
      </c>
      <c r="B555" s="274">
        <v>44470</v>
      </c>
      <c r="C555" s="44" t="s">
        <v>1034</v>
      </c>
      <c r="D555" s="275">
        <v>60000274229</v>
      </c>
      <c r="E555" s="44" t="s">
        <v>718</v>
      </c>
      <c r="F555" s="44" t="s">
        <v>717</v>
      </c>
      <c r="G555" s="44"/>
      <c r="H555" s="44"/>
      <c r="I555" s="44"/>
      <c r="J555" s="44"/>
      <c r="K555" s="44"/>
      <c r="L555" s="44"/>
      <c r="M555" s="276">
        <v>2100.5500000000002</v>
      </c>
    </row>
    <row r="556" spans="1:13" outlineLevel="2" x14ac:dyDescent="0.25">
      <c r="A556" s="44" t="s">
        <v>288</v>
      </c>
      <c r="B556" s="274">
        <v>44470</v>
      </c>
      <c r="C556" s="44" t="s">
        <v>1034</v>
      </c>
      <c r="D556" s="275">
        <v>60000285996</v>
      </c>
      <c r="E556" s="44" t="s">
        <v>718</v>
      </c>
      <c r="F556" s="44" t="s">
        <v>717</v>
      </c>
      <c r="G556" s="44"/>
      <c r="H556" s="44"/>
      <c r="I556" s="44"/>
      <c r="J556" s="44"/>
      <c r="K556" s="44"/>
      <c r="L556" s="44"/>
      <c r="M556" s="276">
        <v>2465.63</v>
      </c>
    </row>
    <row r="557" spans="1:13" outlineLevel="2" x14ac:dyDescent="0.25">
      <c r="A557" s="44" t="s">
        <v>288</v>
      </c>
      <c r="B557" s="274">
        <v>44489</v>
      </c>
      <c r="C557" s="44" t="s">
        <v>1034</v>
      </c>
      <c r="D557" s="275">
        <v>50300366327</v>
      </c>
      <c r="E557" s="44" t="s">
        <v>741</v>
      </c>
      <c r="F557" s="44" t="s">
        <v>717</v>
      </c>
      <c r="G557" s="44"/>
      <c r="H557" s="44"/>
      <c r="I557" s="44"/>
      <c r="J557" s="44"/>
      <c r="K557" s="44"/>
      <c r="L557" s="44"/>
      <c r="M557" s="276">
        <v>494.55</v>
      </c>
    </row>
    <row r="558" spans="1:13" outlineLevel="2" x14ac:dyDescent="0.25">
      <c r="A558" s="44" t="s">
        <v>288</v>
      </c>
      <c r="B558" s="274">
        <v>44491</v>
      </c>
      <c r="C558" s="44" t="s">
        <v>1034</v>
      </c>
      <c r="D558" s="275">
        <v>10400676781</v>
      </c>
      <c r="E558" s="44" t="s">
        <v>716</v>
      </c>
      <c r="F558" s="44" t="s">
        <v>717</v>
      </c>
      <c r="G558" s="44"/>
      <c r="H558" s="44"/>
      <c r="I558" s="44"/>
      <c r="J558" s="44"/>
      <c r="K558" s="44"/>
      <c r="L558" s="44"/>
      <c r="M558" s="276">
        <v>1574.38</v>
      </c>
    </row>
    <row r="559" spans="1:13" outlineLevel="2" x14ac:dyDescent="0.25">
      <c r="A559" s="44" t="s">
        <v>288</v>
      </c>
      <c r="B559" s="274">
        <v>44491</v>
      </c>
      <c r="C559" s="44" t="s">
        <v>1034</v>
      </c>
      <c r="D559" s="275">
        <v>10400701977</v>
      </c>
      <c r="E559" s="44" t="s">
        <v>716</v>
      </c>
      <c r="F559" s="44" t="s">
        <v>717</v>
      </c>
      <c r="G559" s="44"/>
      <c r="H559" s="44"/>
      <c r="I559" s="44"/>
      <c r="J559" s="44"/>
      <c r="K559" s="44"/>
      <c r="L559" s="44"/>
      <c r="M559" s="276">
        <v>312.39999999999998</v>
      </c>
    </row>
    <row r="560" spans="1:13" outlineLevel="2" x14ac:dyDescent="0.25">
      <c r="A560" s="44" t="s">
        <v>288</v>
      </c>
      <c r="B560" s="274">
        <v>44499</v>
      </c>
      <c r="C560" s="44" t="s">
        <v>1034</v>
      </c>
      <c r="D560" s="275">
        <v>300001911</v>
      </c>
      <c r="E560" s="44" t="s">
        <v>802</v>
      </c>
      <c r="F560" s="44" t="s">
        <v>822</v>
      </c>
      <c r="G560" s="44"/>
      <c r="H560" s="44"/>
      <c r="I560" s="44"/>
      <c r="J560" s="44"/>
      <c r="K560" s="44"/>
      <c r="L560" s="44"/>
      <c r="M560" s="276">
        <v>1327.92</v>
      </c>
    </row>
    <row r="561" spans="1:13" outlineLevel="2" x14ac:dyDescent="0.25">
      <c r="A561" s="44" t="s">
        <v>288</v>
      </c>
      <c r="B561" s="274">
        <v>44500</v>
      </c>
      <c r="C561" s="44" t="s">
        <v>1034</v>
      </c>
      <c r="D561" s="275">
        <v>60000298248</v>
      </c>
      <c r="E561" s="44" t="s">
        <v>718</v>
      </c>
      <c r="F561" s="44" t="s">
        <v>717</v>
      </c>
      <c r="G561" s="44"/>
      <c r="H561" s="44"/>
      <c r="I561" s="44"/>
      <c r="J561" s="44"/>
      <c r="K561" s="44"/>
      <c r="L561" s="44"/>
      <c r="M561" s="276">
        <v>4241.34</v>
      </c>
    </row>
    <row r="562" spans="1:13" outlineLevel="2" x14ac:dyDescent="0.25">
      <c r="A562" s="278" t="s">
        <v>288</v>
      </c>
      <c r="B562" s="279">
        <v>44491</v>
      </c>
      <c r="C562" s="278" t="s">
        <v>1033</v>
      </c>
      <c r="D562" s="275">
        <v>7724</v>
      </c>
      <c r="E562" s="278" t="s">
        <v>841</v>
      </c>
      <c r="F562" s="278" t="s">
        <v>844</v>
      </c>
      <c r="G562" s="278" t="s">
        <v>845</v>
      </c>
      <c r="H562" s="278"/>
      <c r="I562" s="278"/>
      <c r="J562" s="278"/>
      <c r="K562" s="278"/>
      <c r="L562" s="278"/>
      <c r="M562" s="269">
        <v>11267.1</v>
      </c>
    </row>
    <row r="563" spans="1:13" outlineLevel="2" x14ac:dyDescent="0.25">
      <c r="A563" s="44" t="s">
        <v>288</v>
      </c>
      <c r="B563" s="274">
        <v>44484</v>
      </c>
      <c r="C563" s="44" t="s">
        <v>1032</v>
      </c>
      <c r="D563" s="275">
        <v>6580</v>
      </c>
      <c r="E563" s="44" t="s">
        <v>846</v>
      </c>
      <c r="F563" s="44" t="s">
        <v>890</v>
      </c>
      <c r="G563" s="44" t="s">
        <v>891</v>
      </c>
      <c r="H563" s="44"/>
      <c r="I563" s="44"/>
      <c r="J563" s="44"/>
      <c r="K563" s="44"/>
      <c r="L563" s="44"/>
      <c r="M563" s="276">
        <v>918.38</v>
      </c>
    </row>
    <row r="564" spans="1:13" outlineLevel="2" x14ac:dyDescent="0.25">
      <c r="A564" s="44" t="s">
        <v>288</v>
      </c>
      <c r="B564" s="274">
        <v>44490</v>
      </c>
      <c r="C564" s="44" t="s">
        <v>1032</v>
      </c>
      <c r="D564" s="275">
        <v>6598</v>
      </c>
      <c r="E564" s="44" t="s">
        <v>846</v>
      </c>
      <c r="F564" s="44" t="s">
        <v>875</v>
      </c>
      <c r="G564" s="44" t="s">
        <v>898</v>
      </c>
      <c r="H564" s="44"/>
      <c r="I564" s="44"/>
      <c r="J564" s="44"/>
      <c r="K564" s="44"/>
      <c r="L564" s="44"/>
      <c r="M564" s="276">
        <v>72.34</v>
      </c>
    </row>
    <row r="565" spans="1:13" ht="30" outlineLevel="2" x14ac:dyDescent="0.25">
      <c r="A565" s="44" t="s">
        <v>288</v>
      </c>
      <c r="B565" s="274">
        <v>44470</v>
      </c>
      <c r="C565" s="44" t="s">
        <v>1036</v>
      </c>
      <c r="D565" s="275">
        <v>100004929</v>
      </c>
      <c r="E565" s="44" t="s">
        <v>1009</v>
      </c>
      <c r="F565" s="44" t="s">
        <v>953</v>
      </c>
      <c r="G565" s="44" t="s">
        <v>941</v>
      </c>
      <c r="H565" s="44">
        <v>0</v>
      </c>
      <c r="I565" s="44">
        <v>0</v>
      </c>
      <c r="J565" s="44">
        <v>0</v>
      </c>
      <c r="K565" s="44">
        <v>1</v>
      </c>
      <c r="L565" s="44">
        <v>600</v>
      </c>
      <c r="M565" s="269">
        <f t="shared" ref="M565:M581" si="7">L565-(H565+I565+J565)*K565</f>
        <v>600</v>
      </c>
    </row>
    <row r="566" spans="1:13" outlineLevel="2" x14ac:dyDescent="0.25">
      <c r="A566" s="44" t="s">
        <v>288</v>
      </c>
      <c r="B566" s="274">
        <v>44470</v>
      </c>
      <c r="C566" s="44" t="s">
        <v>1036</v>
      </c>
      <c r="D566" s="275">
        <v>100004929</v>
      </c>
      <c r="E566" s="44" t="s">
        <v>716</v>
      </c>
      <c r="F566" s="44" t="s">
        <v>717</v>
      </c>
      <c r="G566" s="44" t="s">
        <v>941</v>
      </c>
      <c r="H566" s="44">
        <v>32.975186999999998</v>
      </c>
      <c r="I566" s="44">
        <v>0</v>
      </c>
      <c r="J566" s="44">
        <v>0</v>
      </c>
      <c r="K566" s="44">
        <v>1</v>
      </c>
      <c r="L566" s="44">
        <v>190</v>
      </c>
      <c r="M566" s="269">
        <f t="shared" si="7"/>
        <v>157.02481299999999</v>
      </c>
    </row>
    <row r="567" spans="1:13" outlineLevel="2" x14ac:dyDescent="0.25">
      <c r="A567" s="44" t="s">
        <v>288</v>
      </c>
      <c r="B567" s="274">
        <v>44470</v>
      </c>
      <c r="C567" s="44" t="s">
        <v>1036</v>
      </c>
      <c r="D567" s="275">
        <v>100004929</v>
      </c>
      <c r="E567" s="44" t="s">
        <v>716</v>
      </c>
      <c r="F567" s="44" t="s">
        <v>717</v>
      </c>
      <c r="G567" s="44" t="s">
        <v>941</v>
      </c>
      <c r="H567" s="44">
        <v>38.181801</v>
      </c>
      <c r="I567" s="44">
        <v>0</v>
      </c>
      <c r="J567" s="44">
        <v>0</v>
      </c>
      <c r="K567" s="44">
        <v>1</v>
      </c>
      <c r="L567" s="44">
        <v>220</v>
      </c>
      <c r="M567" s="269">
        <f t="shared" si="7"/>
        <v>181.81819899999999</v>
      </c>
    </row>
    <row r="568" spans="1:13" ht="30" outlineLevel="2" x14ac:dyDescent="0.25">
      <c r="A568" s="44" t="s">
        <v>288</v>
      </c>
      <c r="B568" s="274">
        <v>44470</v>
      </c>
      <c r="C568" s="44" t="s">
        <v>1036</v>
      </c>
      <c r="D568" s="275">
        <v>100004929</v>
      </c>
      <c r="E568" s="44" t="s">
        <v>915</v>
      </c>
      <c r="F568" s="44" t="s">
        <v>717</v>
      </c>
      <c r="G568" s="44" t="s">
        <v>941</v>
      </c>
      <c r="H568" s="44">
        <v>43.388415000000002</v>
      </c>
      <c r="I568" s="44">
        <v>0</v>
      </c>
      <c r="J568" s="44">
        <v>0</v>
      </c>
      <c r="K568" s="44">
        <v>2</v>
      </c>
      <c r="L568" s="44">
        <v>500</v>
      </c>
      <c r="M568" s="269">
        <f t="shared" si="7"/>
        <v>413.22316999999998</v>
      </c>
    </row>
    <row r="569" spans="1:13" ht="30" outlineLevel="2" x14ac:dyDescent="0.25">
      <c r="A569" s="44" t="s">
        <v>288</v>
      </c>
      <c r="B569" s="274">
        <v>44470</v>
      </c>
      <c r="C569" s="44" t="s">
        <v>1036</v>
      </c>
      <c r="D569" s="275">
        <v>100004929</v>
      </c>
      <c r="E569" s="44" t="s">
        <v>988</v>
      </c>
      <c r="F569" s="44" t="s">
        <v>953</v>
      </c>
      <c r="G569" s="44" t="s">
        <v>941</v>
      </c>
      <c r="H569" s="44">
        <v>0</v>
      </c>
      <c r="I569" s="44">
        <v>0</v>
      </c>
      <c r="J569" s="44">
        <v>0</v>
      </c>
      <c r="K569" s="44">
        <v>1</v>
      </c>
      <c r="L569" s="44">
        <v>520</v>
      </c>
      <c r="M569" s="269">
        <f t="shared" si="7"/>
        <v>520</v>
      </c>
    </row>
    <row r="570" spans="1:13" outlineLevel="2" x14ac:dyDescent="0.25">
      <c r="A570" s="44" t="s">
        <v>288</v>
      </c>
      <c r="B570" s="274">
        <v>44482</v>
      </c>
      <c r="C570" s="44" t="s">
        <v>1036</v>
      </c>
      <c r="D570" s="275">
        <v>100004944</v>
      </c>
      <c r="E570" s="44" t="s">
        <v>1010</v>
      </c>
      <c r="F570" s="44" t="s">
        <v>938</v>
      </c>
      <c r="G570" s="44"/>
      <c r="H570" s="44">
        <v>0</v>
      </c>
      <c r="I570" s="44">
        <v>0</v>
      </c>
      <c r="J570" s="44">
        <v>0</v>
      </c>
      <c r="K570" s="44">
        <v>1</v>
      </c>
      <c r="L570" s="44">
        <v>500</v>
      </c>
      <c r="M570" s="269">
        <f t="shared" si="7"/>
        <v>500</v>
      </c>
    </row>
    <row r="571" spans="1:13" outlineLevel="2" x14ac:dyDescent="0.25">
      <c r="A571" s="44" t="s">
        <v>288</v>
      </c>
      <c r="B571" s="274">
        <v>44482</v>
      </c>
      <c r="C571" s="44" t="s">
        <v>1036</v>
      </c>
      <c r="D571" s="275">
        <v>100004944</v>
      </c>
      <c r="E571" s="44" t="s">
        <v>1011</v>
      </c>
      <c r="F571" s="44" t="s">
        <v>937</v>
      </c>
      <c r="G571" s="44"/>
      <c r="H571" s="44">
        <v>1544.6277</v>
      </c>
      <c r="I571" s="44">
        <v>0</v>
      </c>
      <c r="J571" s="44">
        <v>0</v>
      </c>
      <c r="K571" s="44">
        <v>1</v>
      </c>
      <c r="L571" s="277">
        <v>9600</v>
      </c>
      <c r="M571" s="269">
        <f t="shared" si="7"/>
        <v>8055.3723</v>
      </c>
    </row>
    <row r="572" spans="1:13" outlineLevel="2" x14ac:dyDescent="0.25">
      <c r="A572" s="44" t="s">
        <v>288</v>
      </c>
      <c r="B572" s="274">
        <v>44484</v>
      </c>
      <c r="C572" s="44" t="s">
        <v>1036</v>
      </c>
      <c r="D572" s="275">
        <v>100004956</v>
      </c>
      <c r="E572" s="44" t="s">
        <v>716</v>
      </c>
      <c r="F572" s="44" t="s">
        <v>717</v>
      </c>
      <c r="G572" s="44" t="s">
        <v>1012</v>
      </c>
      <c r="H572" s="44">
        <v>27.768594</v>
      </c>
      <c r="I572" s="44">
        <v>0</v>
      </c>
      <c r="J572" s="44">
        <v>0</v>
      </c>
      <c r="K572" s="44">
        <v>3</v>
      </c>
      <c r="L572" s="44">
        <v>480</v>
      </c>
      <c r="M572" s="269">
        <f t="shared" si="7"/>
        <v>396.69421799999998</v>
      </c>
    </row>
    <row r="573" spans="1:13" outlineLevel="2" x14ac:dyDescent="0.25">
      <c r="A573" s="44" t="s">
        <v>288</v>
      </c>
      <c r="B573" s="274">
        <v>44484</v>
      </c>
      <c r="C573" s="44" t="s">
        <v>1036</v>
      </c>
      <c r="D573" s="275">
        <v>100004956</v>
      </c>
      <c r="E573" s="44" t="s">
        <v>716</v>
      </c>
      <c r="F573" s="44" t="s">
        <v>717</v>
      </c>
      <c r="G573" s="44" t="s">
        <v>1012</v>
      </c>
      <c r="H573" s="44">
        <v>47.727266999999998</v>
      </c>
      <c r="I573" s="44">
        <v>0</v>
      </c>
      <c r="J573" s="44">
        <v>0</v>
      </c>
      <c r="K573" s="44">
        <v>2</v>
      </c>
      <c r="L573" s="44">
        <v>550</v>
      </c>
      <c r="M573" s="269">
        <f t="shared" si="7"/>
        <v>454.54546600000003</v>
      </c>
    </row>
    <row r="574" spans="1:13" outlineLevel="2" x14ac:dyDescent="0.25">
      <c r="A574" s="44" t="s">
        <v>288</v>
      </c>
      <c r="B574" s="274">
        <v>44484</v>
      </c>
      <c r="C574" s="44" t="s">
        <v>1036</v>
      </c>
      <c r="D574" s="275">
        <v>100004957</v>
      </c>
      <c r="E574" s="44" t="s">
        <v>931</v>
      </c>
      <c r="F574" s="44" t="s">
        <v>717</v>
      </c>
      <c r="G574" s="44" t="s">
        <v>1013</v>
      </c>
      <c r="H574" s="44">
        <v>144.04958400000001</v>
      </c>
      <c r="I574" s="44">
        <v>0</v>
      </c>
      <c r="J574" s="44">
        <v>0</v>
      </c>
      <c r="K574" s="44">
        <v>2</v>
      </c>
      <c r="L574" s="277">
        <v>1660</v>
      </c>
      <c r="M574" s="269">
        <f t="shared" si="7"/>
        <v>1371.900832</v>
      </c>
    </row>
    <row r="575" spans="1:13" ht="30" outlineLevel="2" x14ac:dyDescent="0.25">
      <c r="A575" s="44" t="s">
        <v>288</v>
      </c>
      <c r="B575" s="274">
        <v>44490</v>
      </c>
      <c r="C575" s="44" t="s">
        <v>1036</v>
      </c>
      <c r="D575" s="275">
        <v>100004965</v>
      </c>
      <c r="E575" s="44" t="s">
        <v>987</v>
      </c>
      <c r="F575" s="44" t="s">
        <v>953</v>
      </c>
      <c r="G575" s="44" t="s">
        <v>1014</v>
      </c>
      <c r="H575" s="44">
        <v>0</v>
      </c>
      <c r="I575" s="44">
        <v>0</v>
      </c>
      <c r="J575" s="44">
        <v>0</v>
      </c>
      <c r="K575" s="44">
        <v>1</v>
      </c>
      <c r="L575" s="44">
        <v>600</v>
      </c>
      <c r="M575" s="269">
        <f t="shared" si="7"/>
        <v>600</v>
      </c>
    </row>
    <row r="576" spans="1:13" outlineLevel="2" x14ac:dyDescent="0.25">
      <c r="A576" s="44" t="s">
        <v>288</v>
      </c>
      <c r="B576" s="274">
        <v>44490</v>
      </c>
      <c r="C576" s="44" t="s">
        <v>1036</v>
      </c>
      <c r="D576" s="275">
        <v>100004965</v>
      </c>
      <c r="E576" s="44" t="s">
        <v>716</v>
      </c>
      <c r="F576" s="44" t="s">
        <v>717</v>
      </c>
      <c r="G576" s="44" t="s">
        <v>1014</v>
      </c>
      <c r="H576" s="44">
        <v>32.975186999999998</v>
      </c>
      <c r="I576" s="44">
        <v>0</v>
      </c>
      <c r="J576" s="44">
        <v>0</v>
      </c>
      <c r="K576" s="44">
        <v>1</v>
      </c>
      <c r="L576" s="44">
        <v>190</v>
      </c>
      <c r="M576" s="269">
        <f t="shared" si="7"/>
        <v>157.02481299999999</v>
      </c>
    </row>
    <row r="577" spans="1:13" outlineLevel="2" x14ac:dyDescent="0.25">
      <c r="A577" s="44" t="s">
        <v>288</v>
      </c>
      <c r="B577" s="274">
        <v>44490</v>
      </c>
      <c r="C577" s="44" t="s">
        <v>1036</v>
      </c>
      <c r="D577" s="275">
        <v>100004965</v>
      </c>
      <c r="E577" s="44" t="s">
        <v>716</v>
      </c>
      <c r="F577" s="44" t="s">
        <v>717</v>
      </c>
      <c r="G577" s="44" t="s">
        <v>1014</v>
      </c>
      <c r="H577" s="44">
        <v>38.181801</v>
      </c>
      <c r="I577" s="44">
        <v>0</v>
      </c>
      <c r="J577" s="44">
        <v>0</v>
      </c>
      <c r="K577" s="44">
        <v>1</v>
      </c>
      <c r="L577" s="44">
        <v>220</v>
      </c>
      <c r="M577" s="269">
        <f t="shared" si="7"/>
        <v>181.81819899999999</v>
      </c>
    </row>
    <row r="578" spans="1:13" ht="30" outlineLevel="2" x14ac:dyDescent="0.25">
      <c r="A578" s="44" t="s">
        <v>288</v>
      </c>
      <c r="B578" s="274">
        <v>44490</v>
      </c>
      <c r="C578" s="44" t="s">
        <v>1036</v>
      </c>
      <c r="D578" s="275">
        <v>100004965</v>
      </c>
      <c r="E578" s="44" t="s">
        <v>915</v>
      </c>
      <c r="F578" s="44" t="s">
        <v>717</v>
      </c>
      <c r="G578" s="44" t="s">
        <v>1014</v>
      </c>
      <c r="H578" s="44">
        <v>43.388415000000002</v>
      </c>
      <c r="I578" s="44">
        <v>0</v>
      </c>
      <c r="J578" s="44">
        <v>0</v>
      </c>
      <c r="K578" s="44">
        <v>2</v>
      </c>
      <c r="L578" s="44">
        <v>500</v>
      </c>
      <c r="M578" s="269">
        <f t="shared" si="7"/>
        <v>413.22316999999998</v>
      </c>
    </row>
    <row r="579" spans="1:13" ht="30" outlineLevel="2" x14ac:dyDescent="0.25">
      <c r="A579" s="44" t="s">
        <v>288</v>
      </c>
      <c r="B579" s="274">
        <v>44490</v>
      </c>
      <c r="C579" s="44" t="s">
        <v>1036</v>
      </c>
      <c r="D579" s="275">
        <v>100004965</v>
      </c>
      <c r="E579" s="44" t="s">
        <v>1015</v>
      </c>
      <c r="F579" s="44" t="s">
        <v>917</v>
      </c>
      <c r="G579" s="44" t="s">
        <v>1014</v>
      </c>
      <c r="H579" s="44">
        <v>0</v>
      </c>
      <c r="I579" s="44">
        <v>0</v>
      </c>
      <c r="J579" s="44">
        <v>0</v>
      </c>
      <c r="K579" s="44">
        <v>1</v>
      </c>
      <c r="L579" s="277">
        <v>1500</v>
      </c>
      <c r="M579" s="269">
        <f t="shared" si="7"/>
        <v>1500</v>
      </c>
    </row>
    <row r="580" spans="1:13" ht="45" outlineLevel="2" x14ac:dyDescent="0.25">
      <c r="A580" s="44" t="s">
        <v>288</v>
      </c>
      <c r="B580" s="274">
        <v>44490</v>
      </c>
      <c r="C580" s="44" t="s">
        <v>1036</v>
      </c>
      <c r="D580" s="275">
        <v>100004965</v>
      </c>
      <c r="E580" s="44" t="s">
        <v>1016</v>
      </c>
      <c r="F580" s="44" t="s">
        <v>953</v>
      </c>
      <c r="G580" s="44" t="s">
        <v>1014</v>
      </c>
      <c r="H580" s="44">
        <v>0</v>
      </c>
      <c r="I580" s="44">
        <v>0</v>
      </c>
      <c r="J580" s="44">
        <v>0</v>
      </c>
      <c r="K580" s="44">
        <v>1</v>
      </c>
      <c r="L580" s="44">
        <v>520</v>
      </c>
      <c r="M580" s="269">
        <f t="shared" si="7"/>
        <v>520</v>
      </c>
    </row>
    <row r="581" spans="1:13" outlineLevel="2" x14ac:dyDescent="0.25">
      <c r="A581" s="44" t="s">
        <v>288</v>
      </c>
      <c r="B581" s="274">
        <v>44490</v>
      </c>
      <c r="C581" s="44" t="s">
        <v>1036</v>
      </c>
      <c r="D581" s="275">
        <v>100004965</v>
      </c>
      <c r="E581" s="44" t="s">
        <v>1017</v>
      </c>
      <c r="F581" s="44" t="s">
        <v>968</v>
      </c>
      <c r="G581" s="44" t="s">
        <v>1014</v>
      </c>
      <c r="H581" s="44">
        <v>0</v>
      </c>
      <c r="I581" s="44">
        <v>0</v>
      </c>
      <c r="J581" s="44">
        <v>0</v>
      </c>
      <c r="K581" s="44">
        <v>1</v>
      </c>
      <c r="L581" s="44">
        <v>450</v>
      </c>
      <c r="M581" s="269">
        <f t="shared" si="7"/>
        <v>450</v>
      </c>
    </row>
    <row r="582" spans="1:13" outlineLevel="1" x14ac:dyDescent="0.25">
      <c r="A582" s="282" t="s">
        <v>655</v>
      </c>
      <c r="B582" s="741"/>
      <c r="C582" s="742"/>
      <c r="D582" s="742"/>
      <c r="E582" s="742"/>
      <c r="F582" s="742"/>
      <c r="G582" s="743"/>
      <c r="H582" s="283"/>
      <c r="I582" s="283"/>
      <c r="J582" s="283"/>
      <c r="K582" s="283"/>
      <c r="L582" s="283"/>
      <c r="M582" s="285">
        <f>SUBTOTAL(9,M552:M581)</f>
        <v>45831.405180000002</v>
      </c>
    </row>
    <row r="583" spans="1:13" outlineLevel="2" x14ac:dyDescent="0.25">
      <c r="A583" s="44" t="s">
        <v>232</v>
      </c>
      <c r="B583" s="274">
        <v>44474</v>
      </c>
      <c r="C583" s="44" t="s">
        <v>1034</v>
      </c>
      <c r="D583" s="275">
        <v>200000058</v>
      </c>
      <c r="E583" s="44" t="s">
        <v>733</v>
      </c>
      <c r="F583" s="44" t="s">
        <v>734</v>
      </c>
      <c r="G583" s="44"/>
      <c r="H583" s="44"/>
      <c r="I583" s="44"/>
      <c r="J583" s="44"/>
      <c r="K583" s="44"/>
      <c r="L583" s="44"/>
      <c r="M583" s="276">
        <v>1300</v>
      </c>
    </row>
    <row r="584" spans="1:13" outlineLevel="1" x14ac:dyDescent="0.25">
      <c r="A584" s="286" t="s">
        <v>1080</v>
      </c>
      <c r="B584" s="738"/>
      <c r="C584" s="739"/>
      <c r="D584" s="739"/>
      <c r="E584" s="739"/>
      <c r="F584" s="739"/>
      <c r="G584" s="740"/>
      <c r="H584" s="287"/>
      <c r="I584" s="287"/>
      <c r="J584" s="287"/>
      <c r="K584" s="287"/>
      <c r="L584" s="287"/>
      <c r="M584" s="288">
        <f>SUBTOTAL(9,M583:M583)</f>
        <v>1300</v>
      </c>
    </row>
    <row r="585" spans="1:13" outlineLevel="2" x14ac:dyDescent="0.25">
      <c r="A585" s="44" t="s">
        <v>302</v>
      </c>
      <c r="B585" s="274">
        <v>44470</v>
      </c>
      <c r="C585" s="44" t="s">
        <v>1034</v>
      </c>
      <c r="D585" s="275">
        <v>500033638</v>
      </c>
      <c r="E585" s="44" t="s">
        <v>713</v>
      </c>
      <c r="F585" s="44" t="s">
        <v>714</v>
      </c>
      <c r="G585" s="44"/>
      <c r="H585" s="44"/>
      <c r="I585" s="44"/>
      <c r="J585" s="44"/>
      <c r="K585" s="44"/>
      <c r="L585" s="44"/>
      <c r="M585" s="276">
        <v>1791.53</v>
      </c>
    </row>
    <row r="586" spans="1:13" outlineLevel="2" x14ac:dyDescent="0.25">
      <c r="A586" s="44" t="s">
        <v>302</v>
      </c>
      <c r="B586" s="274">
        <v>44470</v>
      </c>
      <c r="C586" s="44" t="s">
        <v>1034</v>
      </c>
      <c r="D586" s="275">
        <v>60000274229</v>
      </c>
      <c r="E586" s="44" t="s">
        <v>718</v>
      </c>
      <c r="F586" s="44" t="s">
        <v>717</v>
      </c>
      <c r="G586" s="44"/>
      <c r="H586" s="44"/>
      <c r="I586" s="44"/>
      <c r="J586" s="44"/>
      <c r="K586" s="44"/>
      <c r="L586" s="44"/>
      <c r="M586" s="276">
        <v>5317.5</v>
      </c>
    </row>
    <row r="587" spans="1:13" outlineLevel="2" x14ac:dyDescent="0.25">
      <c r="A587" s="44" t="s">
        <v>302</v>
      </c>
      <c r="B587" s="274">
        <v>44470</v>
      </c>
      <c r="C587" s="44" t="s">
        <v>1034</v>
      </c>
      <c r="D587" s="275">
        <v>60000285996</v>
      </c>
      <c r="E587" s="44" t="s">
        <v>718</v>
      </c>
      <c r="F587" s="44" t="s">
        <v>717</v>
      </c>
      <c r="G587" s="44"/>
      <c r="H587" s="44"/>
      <c r="I587" s="44"/>
      <c r="J587" s="44"/>
      <c r="K587" s="44"/>
      <c r="L587" s="44"/>
      <c r="M587" s="276">
        <v>1166.71</v>
      </c>
    </row>
    <row r="588" spans="1:13" outlineLevel="2" x14ac:dyDescent="0.25">
      <c r="A588" s="44" t="s">
        <v>302</v>
      </c>
      <c r="B588" s="274">
        <v>44484</v>
      </c>
      <c r="C588" s="44" t="s">
        <v>1034</v>
      </c>
      <c r="D588" s="275">
        <v>501300183869</v>
      </c>
      <c r="E588" s="44" t="s">
        <v>723</v>
      </c>
      <c r="F588" s="44" t="s">
        <v>717</v>
      </c>
      <c r="G588" s="44"/>
      <c r="H588" s="44"/>
      <c r="I588" s="44"/>
      <c r="J588" s="44"/>
      <c r="K588" s="44"/>
      <c r="L588" s="44"/>
      <c r="M588" s="276">
        <v>540.03</v>
      </c>
    </row>
    <row r="589" spans="1:13" outlineLevel="2" x14ac:dyDescent="0.25">
      <c r="A589" s="44" t="s">
        <v>302</v>
      </c>
      <c r="B589" s="274">
        <v>44488</v>
      </c>
      <c r="C589" s="44" t="s">
        <v>1034</v>
      </c>
      <c r="D589" s="275">
        <v>71102227484</v>
      </c>
      <c r="E589" s="44" t="s">
        <v>739</v>
      </c>
      <c r="F589" s="44" t="s">
        <v>717</v>
      </c>
      <c r="G589" s="44"/>
      <c r="H589" s="44"/>
      <c r="I589" s="44"/>
      <c r="J589" s="44"/>
      <c r="K589" s="44"/>
      <c r="L589" s="44"/>
      <c r="M589" s="276">
        <v>375.91</v>
      </c>
    </row>
    <row r="590" spans="1:13" outlineLevel="2" x14ac:dyDescent="0.25">
      <c r="A590" s="44" t="s">
        <v>302</v>
      </c>
      <c r="B590" s="274">
        <v>44491</v>
      </c>
      <c r="C590" s="44" t="s">
        <v>1034</v>
      </c>
      <c r="D590" s="275">
        <v>10400701977</v>
      </c>
      <c r="E590" s="44" t="s">
        <v>716</v>
      </c>
      <c r="F590" s="44" t="s">
        <v>717</v>
      </c>
      <c r="G590" s="44"/>
      <c r="H590" s="44"/>
      <c r="I590" s="44"/>
      <c r="J590" s="44"/>
      <c r="K590" s="44"/>
      <c r="L590" s="44"/>
      <c r="M590" s="276">
        <v>1095.8699999999999</v>
      </c>
    </row>
    <row r="591" spans="1:13" outlineLevel="2" x14ac:dyDescent="0.25">
      <c r="A591" s="44" t="s">
        <v>302</v>
      </c>
      <c r="B591" s="274">
        <v>44496</v>
      </c>
      <c r="C591" s="44" t="s">
        <v>1034</v>
      </c>
      <c r="D591" s="275">
        <v>300000103</v>
      </c>
      <c r="E591" s="44" t="s">
        <v>728</v>
      </c>
      <c r="F591" s="44" t="s">
        <v>823</v>
      </c>
      <c r="G591" s="44"/>
      <c r="H591" s="44"/>
      <c r="I591" s="44"/>
      <c r="J591" s="44"/>
      <c r="K591" s="44"/>
      <c r="L591" s="44"/>
      <c r="M591" s="276">
        <v>553.72</v>
      </c>
    </row>
    <row r="592" spans="1:13" outlineLevel="2" x14ac:dyDescent="0.25">
      <c r="A592" s="44" t="s">
        <v>302</v>
      </c>
      <c r="B592" s="274">
        <v>44500</v>
      </c>
      <c r="C592" s="44" t="s">
        <v>1034</v>
      </c>
      <c r="D592" s="275">
        <v>60000298248</v>
      </c>
      <c r="E592" s="44" t="s">
        <v>718</v>
      </c>
      <c r="F592" s="44" t="s">
        <v>717</v>
      </c>
      <c r="G592" s="44"/>
      <c r="H592" s="44"/>
      <c r="I592" s="44"/>
      <c r="J592" s="44"/>
      <c r="K592" s="44"/>
      <c r="L592" s="44"/>
      <c r="M592" s="276">
        <v>2414.1999999999998</v>
      </c>
    </row>
    <row r="593" spans="1:13" outlineLevel="2" x14ac:dyDescent="0.25">
      <c r="A593" s="44" t="s">
        <v>302</v>
      </c>
      <c r="B593" s="274">
        <v>44473</v>
      </c>
      <c r="C593" s="44" t="s">
        <v>1036</v>
      </c>
      <c r="D593" s="275">
        <v>100004934</v>
      </c>
      <c r="E593" s="44" t="s">
        <v>716</v>
      </c>
      <c r="F593" s="44" t="s">
        <v>717</v>
      </c>
      <c r="G593" s="44" t="s">
        <v>1018</v>
      </c>
      <c r="H593" s="44">
        <v>30.371880000000001</v>
      </c>
      <c r="I593" s="44">
        <v>0</v>
      </c>
      <c r="J593" s="44">
        <v>0</v>
      </c>
      <c r="K593" s="44">
        <v>4</v>
      </c>
      <c r="L593" s="44">
        <v>700</v>
      </c>
      <c r="M593" s="269">
        <f t="shared" ref="M593:M599" si="8">L593-(H593+I593+J593)*K593</f>
        <v>578.51247999999998</v>
      </c>
    </row>
    <row r="594" spans="1:13" ht="30" outlineLevel="2" x14ac:dyDescent="0.25">
      <c r="A594" s="44" t="s">
        <v>302</v>
      </c>
      <c r="B594" s="274">
        <v>44473</v>
      </c>
      <c r="C594" s="44" t="s">
        <v>1036</v>
      </c>
      <c r="D594" s="275">
        <v>100004934</v>
      </c>
      <c r="E594" s="44" t="s">
        <v>915</v>
      </c>
      <c r="F594" s="44" t="s">
        <v>717</v>
      </c>
      <c r="G594" s="44" t="s">
        <v>1018</v>
      </c>
      <c r="H594" s="44">
        <v>27.768594</v>
      </c>
      <c r="I594" s="44">
        <v>0</v>
      </c>
      <c r="J594" s="44">
        <v>0</v>
      </c>
      <c r="K594" s="44">
        <v>4</v>
      </c>
      <c r="L594" s="44">
        <v>640</v>
      </c>
      <c r="M594" s="269">
        <f t="shared" si="8"/>
        <v>528.92562399999997</v>
      </c>
    </row>
    <row r="595" spans="1:13" outlineLevel="2" x14ac:dyDescent="0.25">
      <c r="A595" s="44" t="s">
        <v>302</v>
      </c>
      <c r="B595" s="274">
        <v>44489</v>
      </c>
      <c r="C595" s="44" t="s">
        <v>1036</v>
      </c>
      <c r="D595" s="275">
        <v>100004961</v>
      </c>
      <c r="E595" s="44" t="s">
        <v>716</v>
      </c>
      <c r="F595" s="44" t="s">
        <v>717</v>
      </c>
      <c r="G595" s="44" t="s">
        <v>1019</v>
      </c>
      <c r="H595" s="44">
        <v>27.768594</v>
      </c>
      <c r="I595" s="44">
        <v>0</v>
      </c>
      <c r="J595" s="44">
        <v>0</v>
      </c>
      <c r="K595" s="44">
        <v>1</v>
      </c>
      <c r="L595" s="44">
        <v>160</v>
      </c>
      <c r="M595" s="269">
        <f t="shared" si="8"/>
        <v>132.23140599999999</v>
      </c>
    </row>
    <row r="596" spans="1:13" outlineLevel="2" x14ac:dyDescent="0.25">
      <c r="A596" s="44" t="s">
        <v>302</v>
      </c>
      <c r="B596" s="274">
        <v>44489</v>
      </c>
      <c r="C596" s="44" t="s">
        <v>1036</v>
      </c>
      <c r="D596" s="275">
        <v>100004961</v>
      </c>
      <c r="E596" s="44" t="s">
        <v>716</v>
      </c>
      <c r="F596" s="44" t="s">
        <v>717</v>
      </c>
      <c r="G596" s="44" t="s">
        <v>1019</v>
      </c>
      <c r="H596" s="44">
        <v>29.504117999999998</v>
      </c>
      <c r="I596" s="44">
        <v>0</v>
      </c>
      <c r="J596" s="44">
        <v>0</v>
      </c>
      <c r="K596" s="44">
        <v>2</v>
      </c>
      <c r="L596" s="44">
        <v>340</v>
      </c>
      <c r="M596" s="269">
        <f t="shared" si="8"/>
        <v>280.99176399999999</v>
      </c>
    </row>
    <row r="597" spans="1:13" outlineLevel="2" x14ac:dyDescent="0.25">
      <c r="A597" s="44" t="s">
        <v>302</v>
      </c>
      <c r="B597" s="274">
        <v>44489</v>
      </c>
      <c r="C597" s="44" t="s">
        <v>1036</v>
      </c>
      <c r="D597" s="275">
        <v>100004961</v>
      </c>
      <c r="E597" s="44" t="s">
        <v>716</v>
      </c>
      <c r="F597" s="44" t="s">
        <v>717</v>
      </c>
      <c r="G597" s="44" t="s">
        <v>1019</v>
      </c>
      <c r="H597" s="44">
        <v>38.181801</v>
      </c>
      <c r="I597" s="44">
        <v>0</v>
      </c>
      <c r="J597" s="44">
        <v>0</v>
      </c>
      <c r="K597" s="44">
        <v>1</v>
      </c>
      <c r="L597" s="44">
        <v>220</v>
      </c>
      <c r="M597" s="269">
        <f t="shared" si="8"/>
        <v>181.81819899999999</v>
      </c>
    </row>
    <row r="598" spans="1:13" outlineLevel="2" x14ac:dyDescent="0.25">
      <c r="A598" s="44" t="s">
        <v>302</v>
      </c>
      <c r="B598" s="274">
        <v>44489</v>
      </c>
      <c r="C598" s="44" t="s">
        <v>1036</v>
      </c>
      <c r="D598" s="275">
        <v>100004961</v>
      </c>
      <c r="E598" s="44" t="s">
        <v>1020</v>
      </c>
      <c r="F598" s="44" t="s">
        <v>934</v>
      </c>
      <c r="G598" s="44" t="s">
        <v>1019</v>
      </c>
      <c r="H598" s="44">
        <v>0</v>
      </c>
      <c r="I598" s="44">
        <v>0</v>
      </c>
      <c r="J598" s="44">
        <v>0</v>
      </c>
      <c r="K598" s="44">
        <v>1</v>
      </c>
      <c r="L598" s="277">
        <v>1070</v>
      </c>
      <c r="M598" s="269">
        <f t="shared" si="8"/>
        <v>1070</v>
      </c>
    </row>
    <row r="599" spans="1:13" ht="30" outlineLevel="2" x14ac:dyDescent="0.25">
      <c r="A599" s="44" t="s">
        <v>302</v>
      </c>
      <c r="B599" s="274">
        <v>44489</v>
      </c>
      <c r="C599" s="44" t="s">
        <v>1036</v>
      </c>
      <c r="D599" s="275">
        <v>100004961</v>
      </c>
      <c r="E599" s="44" t="s">
        <v>1021</v>
      </c>
      <c r="F599" s="44" t="s">
        <v>934</v>
      </c>
      <c r="G599" s="44" t="s">
        <v>1019</v>
      </c>
      <c r="H599" s="44">
        <v>0</v>
      </c>
      <c r="I599" s="44">
        <v>0</v>
      </c>
      <c r="J599" s="44">
        <v>0</v>
      </c>
      <c r="K599" s="44">
        <v>1</v>
      </c>
      <c r="L599" s="44">
        <v>290</v>
      </c>
      <c r="M599" s="269">
        <f t="shared" si="8"/>
        <v>290</v>
      </c>
    </row>
    <row r="600" spans="1:13" outlineLevel="1" x14ac:dyDescent="0.25">
      <c r="A600" s="282" t="s">
        <v>656</v>
      </c>
      <c r="B600" s="741"/>
      <c r="C600" s="742"/>
      <c r="D600" s="742"/>
      <c r="E600" s="742"/>
      <c r="F600" s="742"/>
      <c r="G600" s="743"/>
      <c r="H600" s="283"/>
      <c r="I600" s="283"/>
      <c r="J600" s="283"/>
      <c r="K600" s="283"/>
      <c r="L600" s="283"/>
      <c r="M600" s="285">
        <f>SUBTOTAL(9,M585:M599)</f>
        <v>16317.949472999997</v>
      </c>
    </row>
    <row r="601" spans="1:13" ht="30" outlineLevel="2" x14ac:dyDescent="0.25">
      <c r="A601" s="44" t="s">
        <v>204</v>
      </c>
      <c r="B601" s="274">
        <v>44477</v>
      </c>
      <c r="C601" s="44" t="s">
        <v>1034</v>
      </c>
      <c r="D601" s="275">
        <v>200059187</v>
      </c>
      <c r="E601" s="44" t="s">
        <v>824</v>
      </c>
      <c r="F601" s="44" t="s">
        <v>825</v>
      </c>
      <c r="G601" s="44"/>
      <c r="H601" s="44"/>
      <c r="I601" s="44"/>
      <c r="J601" s="44"/>
      <c r="K601" s="44"/>
      <c r="L601" s="44"/>
      <c r="M601" s="276">
        <v>725.45</v>
      </c>
    </row>
    <row r="602" spans="1:13" ht="30" outlineLevel="2" x14ac:dyDescent="0.25">
      <c r="A602" s="44" t="s">
        <v>204</v>
      </c>
      <c r="B602" s="274">
        <v>44477</v>
      </c>
      <c r="C602" s="44" t="s">
        <v>1034</v>
      </c>
      <c r="D602" s="275">
        <v>200059187</v>
      </c>
      <c r="E602" s="44" t="s">
        <v>824</v>
      </c>
      <c r="F602" s="44" t="s">
        <v>826</v>
      </c>
      <c r="G602" s="44"/>
      <c r="H602" s="44"/>
      <c r="I602" s="44"/>
      <c r="J602" s="44"/>
      <c r="K602" s="44"/>
      <c r="L602" s="44"/>
      <c r="M602" s="276">
        <v>276.5</v>
      </c>
    </row>
    <row r="603" spans="1:13" ht="30" outlineLevel="2" x14ac:dyDescent="0.25">
      <c r="A603" s="44" t="s">
        <v>204</v>
      </c>
      <c r="B603" s="274">
        <v>44481</v>
      </c>
      <c r="C603" s="44" t="s">
        <v>1034</v>
      </c>
      <c r="D603" s="275">
        <v>200059256</v>
      </c>
      <c r="E603" s="44" t="s">
        <v>824</v>
      </c>
      <c r="F603" s="44" t="s">
        <v>827</v>
      </c>
      <c r="G603" s="44"/>
      <c r="H603" s="44"/>
      <c r="I603" s="44"/>
      <c r="J603" s="44"/>
      <c r="K603" s="44"/>
      <c r="L603" s="44"/>
      <c r="M603" s="276">
        <v>219.61</v>
      </c>
    </row>
    <row r="604" spans="1:13" outlineLevel="2" x14ac:dyDescent="0.25">
      <c r="A604" s="44" t="s">
        <v>204</v>
      </c>
      <c r="B604" s="274">
        <v>44496</v>
      </c>
      <c r="C604" s="44" t="s">
        <v>1034</v>
      </c>
      <c r="D604" s="275">
        <v>200025670</v>
      </c>
      <c r="E604" s="44" t="s">
        <v>748</v>
      </c>
      <c r="F604" s="44" t="s">
        <v>828</v>
      </c>
      <c r="G604" s="44"/>
      <c r="H604" s="44"/>
      <c r="I604" s="44"/>
      <c r="J604" s="44"/>
      <c r="K604" s="44"/>
      <c r="L604" s="44"/>
      <c r="M604" s="276">
        <v>410.83</v>
      </c>
    </row>
    <row r="605" spans="1:13" outlineLevel="2" x14ac:dyDescent="0.25">
      <c r="A605" s="44" t="s">
        <v>204</v>
      </c>
      <c r="B605" s="274">
        <v>44496</v>
      </c>
      <c r="C605" s="44" t="s">
        <v>1034</v>
      </c>
      <c r="D605" s="275">
        <v>200025670</v>
      </c>
      <c r="E605" s="44" t="s">
        <v>748</v>
      </c>
      <c r="F605" s="44" t="s">
        <v>829</v>
      </c>
      <c r="G605" s="44"/>
      <c r="H605" s="44"/>
      <c r="I605" s="44"/>
      <c r="J605" s="44"/>
      <c r="K605" s="44"/>
      <c r="L605" s="44"/>
      <c r="M605" s="276">
        <v>506.92</v>
      </c>
    </row>
    <row r="606" spans="1:13" ht="30" outlineLevel="2" x14ac:dyDescent="0.25">
      <c r="A606" s="44" t="s">
        <v>204</v>
      </c>
      <c r="B606" s="274">
        <v>44488</v>
      </c>
      <c r="C606" s="44" t="s">
        <v>1035</v>
      </c>
      <c r="D606" s="275">
        <v>200012164</v>
      </c>
      <c r="E606" s="44" t="s">
        <v>824</v>
      </c>
      <c r="F606" s="44" t="s">
        <v>840</v>
      </c>
      <c r="G606" s="44"/>
      <c r="H606" s="44"/>
      <c r="I606" s="44"/>
      <c r="J606" s="44"/>
      <c r="K606" s="44"/>
      <c r="L606" s="44"/>
      <c r="M606" s="276">
        <v>-244.31</v>
      </c>
    </row>
    <row r="607" spans="1:13" outlineLevel="2" x14ac:dyDescent="0.25">
      <c r="A607" s="44" t="s">
        <v>204</v>
      </c>
      <c r="B607" s="274">
        <v>44471</v>
      </c>
      <c r="C607" s="44" t="s">
        <v>1032</v>
      </c>
      <c r="D607" s="275">
        <v>6535</v>
      </c>
      <c r="E607" s="44" t="s">
        <v>846</v>
      </c>
      <c r="F607" s="44" t="s">
        <v>863</v>
      </c>
      <c r="G607" s="44">
        <v>72328</v>
      </c>
      <c r="H607" s="44"/>
      <c r="I607" s="44"/>
      <c r="J607" s="44"/>
      <c r="K607" s="44"/>
      <c r="L607" s="44"/>
      <c r="M607" s="276">
        <v>361.62</v>
      </c>
    </row>
    <row r="608" spans="1:13" outlineLevel="2" x14ac:dyDescent="0.25">
      <c r="A608" s="44" t="s">
        <v>204</v>
      </c>
      <c r="B608" s="274">
        <v>44481</v>
      </c>
      <c r="C608" s="44" t="s">
        <v>1032</v>
      </c>
      <c r="D608" s="275">
        <v>6564</v>
      </c>
      <c r="E608" s="44" t="s">
        <v>846</v>
      </c>
      <c r="F608" s="44" t="s">
        <v>863</v>
      </c>
      <c r="G608" s="44">
        <v>72328</v>
      </c>
      <c r="H608" s="44"/>
      <c r="I608" s="44"/>
      <c r="J608" s="44"/>
      <c r="K608" s="44"/>
      <c r="L608" s="44"/>
      <c r="M608" s="276">
        <v>361.62</v>
      </c>
    </row>
    <row r="609" spans="1:13" outlineLevel="2" x14ac:dyDescent="0.25">
      <c r="A609" s="44" t="s">
        <v>204</v>
      </c>
      <c r="B609" s="274">
        <v>44481</v>
      </c>
      <c r="C609" s="44" t="s">
        <v>1032</v>
      </c>
      <c r="D609" s="275">
        <v>6564</v>
      </c>
      <c r="E609" s="44" t="s">
        <v>846</v>
      </c>
      <c r="F609" s="44" t="s">
        <v>905</v>
      </c>
      <c r="G609" s="44">
        <v>72127</v>
      </c>
      <c r="H609" s="44"/>
      <c r="I609" s="44"/>
      <c r="J609" s="44"/>
      <c r="K609" s="44"/>
      <c r="L609" s="44"/>
      <c r="M609" s="276">
        <v>183.16</v>
      </c>
    </row>
    <row r="610" spans="1:13" outlineLevel="2" x14ac:dyDescent="0.25">
      <c r="A610" s="44" t="s">
        <v>204</v>
      </c>
      <c r="B610" s="274">
        <v>44484</v>
      </c>
      <c r="C610" s="44" t="s">
        <v>1032</v>
      </c>
      <c r="D610" s="275">
        <v>6779</v>
      </c>
      <c r="E610" s="44" t="s">
        <v>846</v>
      </c>
      <c r="F610" s="44" t="s">
        <v>906</v>
      </c>
      <c r="G610" s="44" t="s">
        <v>907</v>
      </c>
      <c r="H610" s="44"/>
      <c r="I610" s="44"/>
      <c r="J610" s="44"/>
      <c r="K610" s="44"/>
      <c r="L610" s="44"/>
      <c r="M610" s="276">
        <v>198</v>
      </c>
    </row>
    <row r="611" spans="1:13" outlineLevel="1" x14ac:dyDescent="0.25">
      <c r="A611" s="286" t="s">
        <v>1081</v>
      </c>
      <c r="B611" s="738"/>
      <c r="C611" s="739"/>
      <c r="D611" s="739"/>
      <c r="E611" s="739"/>
      <c r="F611" s="739"/>
      <c r="G611" s="740"/>
      <c r="H611" s="287"/>
      <c r="I611" s="287"/>
      <c r="J611" s="287"/>
      <c r="K611" s="287"/>
      <c r="L611" s="287"/>
      <c r="M611" s="288">
        <f>SUBTOTAL(9,M601:M610)</f>
        <v>2999.3999999999996</v>
      </c>
    </row>
    <row r="612" spans="1:13" outlineLevel="2" x14ac:dyDescent="0.25">
      <c r="A612" s="44" t="s">
        <v>316</v>
      </c>
      <c r="B612" s="274">
        <v>44470</v>
      </c>
      <c r="C612" s="44" t="s">
        <v>1034</v>
      </c>
      <c r="D612" s="275">
        <v>500033638</v>
      </c>
      <c r="E612" s="44" t="s">
        <v>713</v>
      </c>
      <c r="F612" s="44" t="s">
        <v>714</v>
      </c>
      <c r="G612" s="44"/>
      <c r="H612" s="44"/>
      <c r="I612" s="44"/>
      <c r="J612" s="44"/>
      <c r="K612" s="44"/>
      <c r="L612" s="44"/>
      <c r="M612" s="276">
        <v>1791.53</v>
      </c>
    </row>
    <row r="613" spans="1:13" outlineLevel="2" x14ac:dyDescent="0.25">
      <c r="A613" s="44" t="s">
        <v>316</v>
      </c>
      <c r="B613" s="274">
        <v>44470</v>
      </c>
      <c r="C613" s="44" t="s">
        <v>1034</v>
      </c>
      <c r="D613" s="275">
        <v>10400578195</v>
      </c>
      <c r="E613" s="44" t="s">
        <v>716</v>
      </c>
      <c r="F613" s="44" t="s">
        <v>717</v>
      </c>
      <c r="G613" s="44"/>
      <c r="H613" s="44"/>
      <c r="I613" s="44"/>
      <c r="J613" s="44"/>
      <c r="K613" s="44"/>
      <c r="L613" s="44"/>
      <c r="M613" s="276">
        <v>366.98</v>
      </c>
    </row>
    <row r="614" spans="1:13" outlineLevel="2" x14ac:dyDescent="0.25">
      <c r="A614" s="44" t="s">
        <v>316</v>
      </c>
      <c r="B614" s="274">
        <v>44470</v>
      </c>
      <c r="C614" s="44" t="s">
        <v>1034</v>
      </c>
      <c r="D614" s="275">
        <v>60000274229</v>
      </c>
      <c r="E614" s="44" t="s">
        <v>718</v>
      </c>
      <c r="F614" s="44" t="s">
        <v>717</v>
      </c>
      <c r="G614" s="44"/>
      <c r="H614" s="44"/>
      <c r="I614" s="44"/>
      <c r="J614" s="44"/>
      <c r="K614" s="44"/>
      <c r="L614" s="44"/>
      <c r="M614" s="276">
        <v>2757.93</v>
      </c>
    </row>
    <row r="615" spans="1:13" outlineLevel="2" x14ac:dyDescent="0.25">
      <c r="A615" s="44" t="s">
        <v>316</v>
      </c>
      <c r="B615" s="274">
        <v>44470</v>
      </c>
      <c r="C615" s="44" t="s">
        <v>1034</v>
      </c>
      <c r="D615" s="275">
        <v>60000285996</v>
      </c>
      <c r="E615" s="44" t="s">
        <v>718</v>
      </c>
      <c r="F615" s="44" t="s">
        <v>717</v>
      </c>
      <c r="G615" s="44"/>
      <c r="H615" s="44"/>
      <c r="I615" s="44"/>
      <c r="J615" s="44"/>
      <c r="K615" s="44"/>
      <c r="L615" s="44"/>
      <c r="M615" s="276">
        <v>4507.3500000000004</v>
      </c>
    </row>
    <row r="616" spans="1:13" outlineLevel="2" x14ac:dyDescent="0.25">
      <c r="A616" s="44" t="s">
        <v>316</v>
      </c>
      <c r="B616" s="274">
        <v>44470</v>
      </c>
      <c r="C616" s="44" t="s">
        <v>1034</v>
      </c>
      <c r="D616" s="275">
        <v>65100019280</v>
      </c>
      <c r="E616" s="44" t="s">
        <v>720</v>
      </c>
      <c r="F616" s="44" t="s">
        <v>721</v>
      </c>
      <c r="G616" s="44"/>
      <c r="H616" s="44"/>
      <c r="I616" s="44"/>
      <c r="J616" s="44"/>
      <c r="K616" s="44"/>
      <c r="L616" s="44"/>
      <c r="M616" s="276">
        <v>1922</v>
      </c>
    </row>
    <row r="617" spans="1:13" outlineLevel="2" x14ac:dyDescent="0.25">
      <c r="A617" s="44" t="s">
        <v>316</v>
      </c>
      <c r="B617" s="274">
        <v>44470</v>
      </c>
      <c r="C617" s="44" t="s">
        <v>1034</v>
      </c>
      <c r="D617" s="275">
        <v>65100019280</v>
      </c>
      <c r="E617" s="44" t="s">
        <v>720</v>
      </c>
      <c r="F617" s="44" t="s">
        <v>722</v>
      </c>
      <c r="G617" s="44"/>
      <c r="H617" s="44"/>
      <c r="I617" s="44"/>
      <c r="J617" s="44"/>
      <c r="K617" s="44"/>
      <c r="L617" s="44"/>
      <c r="M617" s="276">
        <v>272</v>
      </c>
    </row>
    <row r="618" spans="1:13" outlineLevel="2" x14ac:dyDescent="0.25">
      <c r="A618" s="44" t="s">
        <v>316</v>
      </c>
      <c r="B618" s="274">
        <v>44474</v>
      </c>
      <c r="C618" s="44" t="s">
        <v>1034</v>
      </c>
      <c r="D618" s="275">
        <v>200000058</v>
      </c>
      <c r="E618" s="44" t="s">
        <v>733</v>
      </c>
      <c r="F618" s="44" t="s">
        <v>746</v>
      </c>
      <c r="G618" s="44"/>
      <c r="H618" s="44"/>
      <c r="I618" s="44"/>
      <c r="J618" s="44"/>
      <c r="K618" s="44"/>
      <c r="L618" s="44"/>
      <c r="M618" s="276">
        <v>900</v>
      </c>
    </row>
    <row r="619" spans="1:13" outlineLevel="2" x14ac:dyDescent="0.25">
      <c r="A619" s="44" t="s">
        <v>316</v>
      </c>
      <c r="B619" s="274">
        <v>44489</v>
      </c>
      <c r="C619" s="44" t="s">
        <v>1034</v>
      </c>
      <c r="D619" s="275">
        <v>50300366327</v>
      </c>
      <c r="E619" s="44" t="s">
        <v>741</v>
      </c>
      <c r="F619" s="44" t="s">
        <v>717</v>
      </c>
      <c r="G619" s="44"/>
      <c r="H619" s="44"/>
      <c r="I619" s="44"/>
      <c r="J619" s="44"/>
      <c r="K619" s="44"/>
      <c r="L619" s="44"/>
      <c r="M619" s="276">
        <v>494.54</v>
      </c>
    </row>
    <row r="620" spans="1:13" outlineLevel="2" x14ac:dyDescent="0.25">
      <c r="A620" s="44" t="s">
        <v>316</v>
      </c>
      <c r="B620" s="274">
        <v>44491</v>
      </c>
      <c r="C620" s="44" t="s">
        <v>1034</v>
      </c>
      <c r="D620" s="275">
        <v>10400676781</v>
      </c>
      <c r="E620" s="44" t="s">
        <v>716</v>
      </c>
      <c r="F620" s="44" t="s">
        <v>717</v>
      </c>
      <c r="G620" s="44"/>
      <c r="H620" s="44"/>
      <c r="I620" s="44"/>
      <c r="J620" s="44"/>
      <c r="K620" s="44"/>
      <c r="L620" s="44"/>
      <c r="M620" s="276">
        <v>495.85</v>
      </c>
    </row>
    <row r="621" spans="1:13" outlineLevel="2" x14ac:dyDescent="0.25">
      <c r="A621" s="44" t="s">
        <v>316</v>
      </c>
      <c r="B621" s="274">
        <v>44491</v>
      </c>
      <c r="C621" s="44" t="s">
        <v>1034</v>
      </c>
      <c r="D621" s="275">
        <v>10400701977</v>
      </c>
      <c r="E621" s="44" t="s">
        <v>716</v>
      </c>
      <c r="F621" s="44" t="s">
        <v>717</v>
      </c>
      <c r="G621" s="44"/>
      <c r="H621" s="44"/>
      <c r="I621" s="44"/>
      <c r="J621" s="44"/>
      <c r="K621" s="44"/>
      <c r="L621" s="44"/>
      <c r="M621" s="276">
        <v>2454.5500000000002</v>
      </c>
    </row>
    <row r="622" spans="1:13" outlineLevel="2" x14ac:dyDescent="0.25">
      <c r="A622" s="44" t="s">
        <v>316</v>
      </c>
      <c r="B622" s="274">
        <v>44496</v>
      </c>
      <c r="C622" s="44" t="s">
        <v>1034</v>
      </c>
      <c r="D622" s="275">
        <v>65100019922</v>
      </c>
      <c r="E622" s="44" t="s">
        <v>720</v>
      </c>
      <c r="F622" s="44" t="s">
        <v>726</v>
      </c>
      <c r="G622" s="44"/>
      <c r="H622" s="44"/>
      <c r="I622" s="44"/>
      <c r="J622" s="44"/>
      <c r="K622" s="44"/>
      <c r="L622" s="44"/>
      <c r="M622" s="276">
        <v>1922</v>
      </c>
    </row>
    <row r="623" spans="1:13" outlineLevel="2" x14ac:dyDescent="0.25">
      <c r="A623" s="44" t="s">
        <v>316</v>
      </c>
      <c r="B623" s="274">
        <v>44496</v>
      </c>
      <c r="C623" s="44" t="s">
        <v>1034</v>
      </c>
      <c r="D623" s="275">
        <v>65100019922</v>
      </c>
      <c r="E623" s="44" t="s">
        <v>720</v>
      </c>
      <c r="F623" s="44" t="s">
        <v>727</v>
      </c>
      <c r="G623" s="44"/>
      <c r="H623" s="44"/>
      <c r="I623" s="44"/>
      <c r="J623" s="44"/>
      <c r="K623" s="44"/>
      <c r="L623" s="44"/>
      <c r="M623" s="276">
        <v>272</v>
      </c>
    </row>
    <row r="624" spans="1:13" outlineLevel="2" x14ac:dyDescent="0.25">
      <c r="A624" s="44" t="s">
        <v>316</v>
      </c>
      <c r="B624" s="274">
        <v>44500</v>
      </c>
      <c r="C624" s="44" t="s">
        <v>1034</v>
      </c>
      <c r="D624" s="275">
        <v>60000298248</v>
      </c>
      <c r="E624" s="44" t="s">
        <v>718</v>
      </c>
      <c r="F624" s="44" t="s">
        <v>717</v>
      </c>
      <c r="G624" s="44"/>
      <c r="H624" s="44"/>
      <c r="I624" s="44"/>
      <c r="J624" s="44"/>
      <c r="K624" s="44"/>
      <c r="L624" s="44"/>
      <c r="M624" s="276">
        <v>3067.32</v>
      </c>
    </row>
    <row r="625" spans="1:13" outlineLevel="2" x14ac:dyDescent="0.25">
      <c r="A625" s="44" t="s">
        <v>316</v>
      </c>
      <c r="B625" s="274">
        <v>44482</v>
      </c>
      <c r="C625" s="44" t="s">
        <v>1032</v>
      </c>
      <c r="D625" s="275">
        <v>6568</v>
      </c>
      <c r="E625" s="44" t="s">
        <v>846</v>
      </c>
      <c r="F625" s="44" t="s">
        <v>908</v>
      </c>
      <c r="G625" s="44" t="s">
        <v>909</v>
      </c>
      <c r="H625" s="44"/>
      <c r="I625" s="44"/>
      <c r="J625" s="44"/>
      <c r="K625" s="44"/>
      <c r="L625" s="44"/>
      <c r="M625" s="276">
        <v>3426.12</v>
      </c>
    </row>
    <row r="626" spans="1:13" ht="30" outlineLevel="2" x14ac:dyDescent="0.25">
      <c r="A626" s="44" t="s">
        <v>316</v>
      </c>
      <c r="B626" s="274">
        <v>44482</v>
      </c>
      <c r="C626" s="44" t="s">
        <v>1032</v>
      </c>
      <c r="D626" s="275">
        <v>6568</v>
      </c>
      <c r="E626" s="44" t="s">
        <v>846</v>
      </c>
      <c r="F626" s="44" t="s">
        <v>910</v>
      </c>
      <c r="G626" s="44" t="s">
        <v>911</v>
      </c>
      <c r="H626" s="44"/>
      <c r="I626" s="44"/>
      <c r="J626" s="44"/>
      <c r="K626" s="44"/>
      <c r="L626" s="44"/>
      <c r="M626" s="276">
        <v>3275.11</v>
      </c>
    </row>
    <row r="627" spans="1:13" ht="30" outlineLevel="2" x14ac:dyDescent="0.25">
      <c r="A627" s="44" t="s">
        <v>316</v>
      </c>
      <c r="B627" s="274">
        <v>44482</v>
      </c>
      <c r="C627" s="44" t="s">
        <v>1032</v>
      </c>
      <c r="D627" s="275">
        <v>6568</v>
      </c>
      <c r="E627" s="44" t="s">
        <v>846</v>
      </c>
      <c r="F627" s="44" t="s">
        <v>912</v>
      </c>
      <c r="G627" s="44" t="s">
        <v>913</v>
      </c>
      <c r="H627" s="44"/>
      <c r="I627" s="44"/>
      <c r="J627" s="44"/>
      <c r="K627" s="44"/>
      <c r="L627" s="44"/>
      <c r="M627" s="276">
        <v>1321.78</v>
      </c>
    </row>
    <row r="628" spans="1:13" outlineLevel="2" x14ac:dyDescent="0.25">
      <c r="A628" s="44" t="s">
        <v>316</v>
      </c>
      <c r="B628" s="274">
        <v>44482</v>
      </c>
      <c r="C628" s="44" t="s">
        <v>1032</v>
      </c>
      <c r="D628" s="275">
        <v>6568</v>
      </c>
      <c r="E628" s="44" t="s">
        <v>846</v>
      </c>
      <c r="F628" s="44" t="s">
        <v>213</v>
      </c>
      <c r="G628" s="44" t="s">
        <v>864</v>
      </c>
      <c r="H628" s="44"/>
      <c r="I628" s="44"/>
      <c r="J628" s="44"/>
      <c r="K628" s="44"/>
      <c r="L628" s="44"/>
      <c r="M628" s="276">
        <v>72.98</v>
      </c>
    </row>
    <row r="629" spans="1:13" ht="30" outlineLevel="2" x14ac:dyDescent="0.25">
      <c r="A629" s="44" t="s">
        <v>316</v>
      </c>
      <c r="B629" s="274">
        <v>44482</v>
      </c>
      <c r="C629" s="44" t="s">
        <v>1032</v>
      </c>
      <c r="D629" s="275">
        <v>6568</v>
      </c>
      <c r="E629" s="44" t="s">
        <v>846</v>
      </c>
      <c r="F629" s="44" t="s">
        <v>857</v>
      </c>
      <c r="G629" s="44" t="s">
        <v>858</v>
      </c>
      <c r="H629" s="44"/>
      <c r="I629" s="44"/>
      <c r="J629" s="44"/>
      <c r="K629" s="44"/>
      <c r="L629" s="44"/>
      <c r="M629" s="276">
        <v>1852.83</v>
      </c>
    </row>
    <row r="630" spans="1:13" outlineLevel="2" x14ac:dyDescent="0.25">
      <c r="A630" s="44" t="s">
        <v>316</v>
      </c>
      <c r="B630" s="274">
        <v>44482</v>
      </c>
      <c r="C630" s="44" t="s">
        <v>1032</v>
      </c>
      <c r="D630" s="275">
        <v>6568</v>
      </c>
      <c r="E630" s="44" t="s">
        <v>846</v>
      </c>
      <c r="F630" s="44" t="s">
        <v>866</v>
      </c>
      <c r="G630" s="44" t="s">
        <v>854</v>
      </c>
      <c r="H630" s="44"/>
      <c r="I630" s="44"/>
      <c r="J630" s="44"/>
      <c r="K630" s="44"/>
      <c r="L630" s="44"/>
      <c r="M630" s="276">
        <v>5676.19</v>
      </c>
    </row>
    <row r="631" spans="1:13" outlineLevel="2" x14ac:dyDescent="0.25">
      <c r="A631" s="44" t="s">
        <v>316</v>
      </c>
      <c r="B631" s="274">
        <v>44482</v>
      </c>
      <c r="C631" s="44" t="s">
        <v>1032</v>
      </c>
      <c r="D631" s="275">
        <v>6568</v>
      </c>
      <c r="E631" s="44" t="s">
        <v>846</v>
      </c>
      <c r="F631" s="44" t="s">
        <v>859</v>
      </c>
      <c r="G631" s="44" t="s">
        <v>860</v>
      </c>
      <c r="H631" s="44"/>
      <c r="I631" s="44"/>
      <c r="J631" s="44"/>
      <c r="K631" s="44"/>
      <c r="L631" s="44"/>
      <c r="M631" s="276">
        <v>1665.8</v>
      </c>
    </row>
    <row r="632" spans="1:13" outlineLevel="2" x14ac:dyDescent="0.25">
      <c r="A632" s="44" t="s">
        <v>316</v>
      </c>
      <c r="B632" s="274">
        <v>44489</v>
      </c>
      <c r="C632" s="44" t="s">
        <v>1032</v>
      </c>
      <c r="D632" s="275">
        <v>6597</v>
      </c>
      <c r="E632" s="44" t="s">
        <v>846</v>
      </c>
      <c r="F632" s="44" t="s">
        <v>875</v>
      </c>
      <c r="G632" s="44" t="s">
        <v>898</v>
      </c>
      <c r="H632" s="44"/>
      <c r="I632" s="44"/>
      <c r="J632" s="44"/>
      <c r="K632" s="44"/>
      <c r="L632" s="44"/>
      <c r="M632" s="276">
        <v>144.68</v>
      </c>
    </row>
    <row r="633" spans="1:13" outlineLevel="2" x14ac:dyDescent="0.25">
      <c r="A633" s="44" t="s">
        <v>316</v>
      </c>
      <c r="B633" s="274">
        <v>44489</v>
      </c>
      <c r="C633" s="44" t="s">
        <v>1032</v>
      </c>
      <c r="D633" s="275">
        <v>6597</v>
      </c>
      <c r="E633" s="44" t="s">
        <v>846</v>
      </c>
      <c r="F633" s="44" t="s">
        <v>875</v>
      </c>
      <c r="G633" s="44" t="s">
        <v>876</v>
      </c>
      <c r="H633" s="44"/>
      <c r="I633" s="44"/>
      <c r="J633" s="44"/>
      <c r="K633" s="44"/>
      <c r="L633" s="44"/>
      <c r="M633" s="276">
        <v>70.8</v>
      </c>
    </row>
    <row r="634" spans="1:13" outlineLevel="1" x14ac:dyDescent="0.25">
      <c r="A634" s="282" t="s">
        <v>657</v>
      </c>
      <c r="B634" s="741"/>
      <c r="C634" s="742"/>
      <c r="D634" s="742"/>
      <c r="E634" s="742"/>
      <c r="F634" s="742"/>
      <c r="G634" s="743"/>
      <c r="H634" s="283"/>
      <c r="I634" s="283"/>
      <c r="J634" s="283"/>
      <c r="K634" s="283"/>
      <c r="L634" s="283"/>
      <c r="M634" s="285">
        <f>SUBTOTAL(9,M612:M633)</f>
        <v>38730.340000000011</v>
      </c>
    </row>
    <row r="635" spans="1:13" outlineLevel="2" x14ac:dyDescent="0.25">
      <c r="A635" s="44" t="s">
        <v>300</v>
      </c>
      <c r="B635" s="274">
        <v>44485</v>
      </c>
      <c r="C635" s="44" t="s">
        <v>1036</v>
      </c>
      <c r="D635" s="275">
        <v>100004958</v>
      </c>
      <c r="E635" s="44" t="s">
        <v>1022</v>
      </c>
      <c r="F635" s="44" t="s">
        <v>920</v>
      </c>
      <c r="G635" s="44" t="s">
        <v>918</v>
      </c>
      <c r="H635" s="44">
        <v>0</v>
      </c>
      <c r="I635" s="44">
        <v>0</v>
      </c>
      <c r="J635" s="44">
        <v>0</v>
      </c>
      <c r="K635" s="44">
        <v>1</v>
      </c>
      <c r="L635" s="277">
        <v>1600</v>
      </c>
      <c r="M635" s="269">
        <f>L635-(H635+I635+J635)*K635</f>
        <v>1600</v>
      </c>
    </row>
    <row r="636" spans="1:13" outlineLevel="1" x14ac:dyDescent="0.25">
      <c r="A636" s="286" t="s">
        <v>1082</v>
      </c>
      <c r="B636" s="738"/>
      <c r="C636" s="739"/>
      <c r="D636" s="739"/>
      <c r="E636" s="739"/>
      <c r="F636" s="739"/>
      <c r="G636" s="740"/>
      <c r="H636" s="287"/>
      <c r="I636" s="287"/>
      <c r="J636" s="287"/>
      <c r="K636" s="287"/>
      <c r="L636" s="289"/>
      <c r="M636" s="288">
        <f>SUBTOTAL(9,M635:M635)</f>
        <v>1600</v>
      </c>
    </row>
    <row r="637" spans="1:13" outlineLevel="2" x14ac:dyDescent="0.25">
      <c r="A637" s="44" t="s">
        <v>319</v>
      </c>
      <c r="B637" s="274">
        <v>44470</v>
      </c>
      <c r="C637" s="44" t="s">
        <v>1034</v>
      </c>
      <c r="D637" s="275">
        <v>500033638</v>
      </c>
      <c r="E637" s="44" t="s">
        <v>713</v>
      </c>
      <c r="F637" s="44" t="s">
        <v>714</v>
      </c>
      <c r="G637" s="44"/>
      <c r="H637" s="44"/>
      <c r="I637" s="44"/>
      <c r="J637" s="44"/>
      <c r="K637" s="44"/>
      <c r="L637" s="44"/>
      <c r="M637" s="276">
        <v>1791.53</v>
      </c>
    </row>
    <row r="638" spans="1:13" outlineLevel="2" x14ac:dyDescent="0.25">
      <c r="A638" s="44" t="s">
        <v>319</v>
      </c>
      <c r="B638" s="274">
        <v>44470</v>
      </c>
      <c r="C638" s="44" t="s">
        <v>1034</v>
      </c>
      <c r="D638" s="275">
        <v>10400578195</v>
      </c>
      <c r="E638" s="44" t="s">
        <v>716</v>
      </c>
      <c r="F638" s="44" t="s">
        <v>717</v>
      </c>
      <c r="G638" s="44"/>
      <c r="H638" s="44"/>
      <c r="I638" s="44"/>
      <c r="J638" s="44"/>
      <c r="K638" s="44"/>
      <c r="L638" s="44"/>
      <c r="M638" s="276">
        <v>4966.9799999999996</v>
      </c>
    </row>
    <row r="639" spans="1:13" outlineLevel="2" x14ac:dyDescent="0.25">
      <c r="A639" s="44" t="s">
        <v>319</v>
      </c>
      <c r="B639" s="274">
        <v>44470</v>
      </c>
      <c r="C639" s="44" t="s">
        <v>1034</v>
      </c>
      <c r="D639" s="275">
        <v>60000274229</v>
      </c>
      <c r="E639" s="44" t="s">
        <v>718</v>
      </c>
      <c r="F639" s="44" t="s">
        <v>717</v>
      </c>
      <c r="G639" s="44"/>
      <c r="H639" s="44"/>
      <c r="I639" s="44"/>
      <c r="J639" s="44"/>
      <c r="K639" s="44"/>
      <c r="L639" s="44"/>
      <c r="M639" s="276">
        <v>2363.12</v>
      </c>
    </row>
    <row r="640" spans="1:13" outlineLevel="2" x14ac:dyDescent="0.25">
      <c r="A640" s="44" t="s">
        <v>319</v>
      </c>
      <c r="B640" s="274">
        <v>44470</v>
      </c>
      <c r="C640" s="44" t="s">
        <v>1034</v>
      </c>
      <c r="D640" s="275">
        <v>60000285996</v>
      </c>
      <c r="E640" s="44" t="s">
        <v>718</v>
      </c>
      <c r="F640" s="44" t="s">
        <v>717</v>
      </c>
      <c r="G640" s="44"/>
      <c r="H640" s="44"/>
      <c r="I640" s="44"/>
      <c r="J640" s="44"/>
      <c r="K640" s="44"/>
      <c r="L640" s="44"/>
      <c r="M640" s="276">
        <v>2041.73</v>
      </c>
    </row>
    <row r="641" spans="1:13" ht="30" outlineLevel="2" x14ac:dyDescent="0.25">
      <c r="A641" s="44" t="s">
        <v>319</v>
      </c>
      <c r="B641" s="274">
        <v>44473</v>
      </c>
      <c r="C641" s="44" t="s">
        <v>1034</v>
      </c>
      <c r="D641" s="275">
        <v>6100301594</v>
      </c>
      <c r="E641" s="44" t="s">
        <v>730</v>
      </c>
      <c r="F641" s="44" t="s">
        <v>717</v>
      </c>
      <c r="G641" s="44"/>
      <c r="H641" s="44"/>
      <c r="I641" s="44"/>
      <c r="J641" s="44"/>
      <c r="K641" s="44"/>
      <c r="L641" s="44"/>
      <c r="M641" s="276">
        <v>686</v>
      </c>
    </row>
    <row r="642" spans="1:13" outlineLevel="2" x14ac:dyDescent="0.25">
      <c r="A642" s="44" t="s">
        <v>319</v>
      </c>
      <c r="B642" s="274">
        <v>44474</v>
      </c>
      <c r="C642" s="44" t="s">
        <v>1034</v>
      </c>
      <c r="D642" s="275">
        <v>200000058</v>
      </c>
      <c r="E642" s="44" t="s">
        <v>733</v>
      </c>
      <c r="F642" s="44" t="s">
        <v>738</v>
      </c>
      <c r="G642" s="44"/>
      <c r="H642" s="44"/>
      <c r="I642" s="44"/>
      <c r="J642" s="44"/>
      <c r="K642" s="44"/>
      <c r="L642" s="44"/>
      <c r="M642" s="276">
        <v>5000</v>
      </c>
    </row>
    <row r="643" spans="1:13" outlineLevel="2" x14ac:dyDescent="0.25">
      <c r="A643" s="44" t="s">
        <v>319</v>
      </c>
      <c r="B643" s="274">
        <v>44474</v>
      </c>
      <c r="C643" s="44" t="s">
        <v>1034</v>
      </c>
      <c r="D643" s="275">
        <v>200000058</v>
      </c>
      <c r="E643" s="44" t="s">
        <v>733</v>
      </c>
      <c r="F643" s="44" t="s">
        <v>806</v>
      </c>
      <c r="G643" s="44"/>
      <c r="H643" s="44"/>
      <c r="I643" s="44"/>
      <c r="J643" s="44"/>
      <c r="K643" s="44"/>
      <c r="L643" s="44"/>
      <c r="M643" s="276">
        <v>5400</v>
      </c>
    </row>
    <row r="644" spans="1:13" outlineLevel="2" x14ac:dyDescent="0.25">
      <c r="A644" s="44" t="s">
        <v>319</v>
      </c>
      <c r="B644" s="274">
        <v>44484</v>
      </c>
      <c r="C644" s="44" t="s">
        <v>1034</v>
      </c>
      <c r="D644" s="275">
        <v>501300183869</v>
      </c>
      <c r="E644" s="44" t="s">
        <v>723</v>
      </c>
      <c r="F644" s="44" t="s">
        <v>717</v>
      </c>
      <c r="G644" s="44"/>
      <c r="H644" s="44"/>
      <c r="I644" s="44"/>
      <c r="J644" s="44"/>
      <c r="K644" s="44"/>
      <c r="L644" s="44"/>
      <c r="M644" s="276">
        <v>156.97</v>
      </c>
    </row>
    <row r="645" spans="1:13" outlineLevel="2" x14ac:dyDescent="0.25">
      <c r="A645" s="44" t="s">
        <v>319</v>
      </c>
      <c r="B645" s="274">
        <v>44491</v>
      </c>
      <c r="C645" s="44" t="s">
        <v>1034</v>
      </c>
      <c r="D645" s="275">
        <v>10400676781</v>
      </c>
      <c r="E645" s="44" t="s">
        <v>716</v>
      </c>
      <c r="F645" s="44" t="s">
        <v>717</v>
      </c>
      <c r="G645" s="44"/>
      <c r="H645" s="44"/>
      <c r="I645" s="44"/>
      <c r="J645" s="44"/>
      <c r="K645" s="44"/>
      <c r="L645" s="44"/>
      <c r="M645" s="276">
        <v>1000</v>
      </c>
    </row>
    <row r="646" spans="1:13" outlineLevel="2" x14ac:dyDescent="0.25">
      <c r="A646" s="44" t="s">
        <v>319</v>
      </c>
      <c r="B646" s="274">
        <v>44491</v>
      </c>
      <c r="C646" s="44" t="s">
        <v>1034</v>
      </c>
      <c r="D646" s="275">
        <v>10400701977</v>
      </c>
      <c r="E646" s="44" t="s">
        <v>716</v>
      </c>
      <c r="F646" s="44" t="s">
        <v>717</v>
      </c>
      <c r="G646" s="44"/>
      <c r="H646" s="44"/>
      <c r="I646" s="44"/>
      <c r="J646" s="44"/>
      <c r="K646" s="44"/>
      <c r="L646" s="44"/>
      <c r="M646" s="276">
        <v>1786.76</v>
      </c>
    </row>
    <row r="647" spans="1:13" outlineLevel="2" x14ac:dyDescent="0.25">
      <c r="A647" s="44" t="s">
        <v>319</v>
      </c>
      <c r="B647" s="274">
        <v>44496</v>
      </c>
      <c r="C647" s="44" t="s">
        <v>1034</v>
      </c>
      <c r="D647" s="275">
        <v>200025670</v>
      </c>
      <c r="E647" s="44" t="s">
        <v>748</v>
      </c>
      <c r="F647" s="44" t="s">
        <v>830</v>
      </c>
      <c r="G647" s="44"/>
      <c r="H647" s="44"/>
      <c r="I647" s="44"/>
      <c r="J647" s="44"/>
      <c r="K647" s="44"/>
      <c r="L647" s="44"/>
      <c r="M647" s="276">
        <v>158.4</v>
      </c>
    </row>
    <row r="648" spans="1:13" outlineLevel="2" x14ac:dyDescent="0.25">
      <c r="A648" s="44" t="s">
        <v>319</v>
      </c>
      <c r="B648" s="274">
        <v>44496</v>
      </c>
      <c r="C648" s="44" t="s">
        <v>1034</v>
      </c>
      <c r="D648" s="275">
        <v>200025670</v>
      </c>
      <c r="E648" s="44" t="s">
        <v>748</v>
      </c>
      <c r="F648" s="44" t="s">
        <v>831</v>
      </c>
      <c r="G648" s="44"/>
      <c r="H648" s="44"/>
      <c r="I648" s="44"/>
      <c r="J648" s="44"/>
      <c r="K648" s="44"/>
      <c r="L648" s="44"/>
      <c r="M648" s="276">
        <v>18.75</v>
      </c>
    </row>
    <row r="649" spans="1:13" outlineLevel="2" x14ac:dyDescent="0.25">
      <c r="A649" s="44" t="s">
        <v>319</v>
      </c>
      <c r="B649" s="274">
        <v>44496</v>
      </c>
      <c r="C649" s="44" t="s">
        <v>1034</v>
      </c>
      <c r="D649" s="275">
        <v>200025670</v>
      </c>
      <c r="E649" s="44" t="s">
        <v>748</v>
      </c>
      <c r="F649" s="44" t="s">
        <v>832</v>
      </c>
      <c r="G649" s="44"/>
      <c r="H649" s="44"/>
      <c r="I649" s="44"/>
      <c r="J649" s="44"/>
      <c r="K649" s="44"/>
      <c r="L649" s="44"/>
      <c r="M649" s="276">
        <v>14.08</v>
      </c>
    </row>
    <row r="650" spans="1:13" outlineLevel="2" x14ac:dyDescent="0.25">
      <c r="A650" s="44" t="s">
        <v>319</v>
      </c>
      <c r="B650" s="274">
        <v>44496</v>
      </c>
      <c r="C650" s="44" t="s">
        <v>1034</v>
      </c>
      <c r="D650" s="275">
        <v>200025670</v>
      </c>
      <c r="E650" s="44" t="s">
        <v>748</v>
      </c>
      <c r="F650" s="44" t="s">
        <v>833</v>
      </c>
      <c r="G650" s="44"/>
      <c r="H650" s="44"/>
      <c r="I650" s="44"/>
      <c r="J650" s="44"/>
      <c r="K650" s="44"/>
      <c r="L650" s="44"/>
      <c r="M650" s="276">
        <v>864.83</v>
      </c>
    </row>
    <row r="651" spans="1:13" outlineLevel="2" x14ac:dyDescent="0.25">
      <c r="A651" s="44" t="s">
        <v>319</v>
      </c>
      <c r="B651" s="274">
        <v>44500</v>
      </c>
      <c r="C651" s="44" t="s">
        <v>1034</v>
      </c>
      <c r="D651" s="275">
        <v>60000298248</v>
      </c>
      <c r="E651" s="44" t="s">
        <v>718</v>
      </c>
      <c r="F651" s="44" t="s">
        <v>717</v>
      </c>
      <c r="G651" s="44"/>
      <c r="H651" s="44"/>
      <c r="I651" s="44"/>
      <c r="J651" s="44"/>
      <c r="K651" s="44"/>
      <c r="L651" s="44"/>
      <c r="M651" s="276">
        <v>1827.18</v>
      </c>
    </row>
    <row r="652" spans="1:13" outlineLevel="2" x14ac:dyDescent="0.25">
      <c r="A652" s="44" t="s">
        <v>319</v>
      </c>
      <c r="B652" s="274">
        <v>44470</v>
      </c>
      <c r="C652" s="44" t="s">
        <v>1036</v>
      </c>
      <c r="D652" s="275">
        <v>100004931</v>
      </c>
      <c r="E652" s="44" t="s">
        <v>1023</v>
      </c>
      <c r="F652" s="44" t="s">
        <v>937</v>
      </c>
      <c r="G652" s="44"/>
      <c r="H652" s="44">
        <v>1874.3802000000001</v>
      </c>
      <c r="I652" s="44">
        <v>0</v>
      </c>
      <c r="J652" s="44">
        <v>0</v>
      </c>
      <c r="K652" s="44">
        <v>1</v>
      </c>
      <c r="L652" s="277">
        <v>11500</v>
      </c>
      <c r="M652" s="269">
        <f>L652-(H652+I652+J652)*K652</f>
        <v>9625.6198000000004</v>
      </c>
    </row>
    <row r="653" spans="1:13" outlineLevel="1" x14ac:dyDescent="0.25">
      <c r="A653" s="282" t="s">
        <v>658</v>
      </c>
      <c r="B653" s="741"/>
      <c r="C653" s="742"/>
      <c r="D653" s="742"/>
      <c r="E653" s="742"/>
      <c r="F653" s="742"/>
      <c r="G653" s="743"/>
      <c r="H653" s="283"/>
      <c r="I653" s="283"/>
      <c r="J653" s="283"/>
      <c r="K653" s="283"/>
      <c r="L653" s="284"/>
      <c r="M653" s="285">
        <f>SUBTOTAL(9,M637:M652)</f>
        <v>37701.949800000002</v>
      </c>
    </row>
    <row r="654" spans="1:13" outlineLevel="2" x14ac:dyDescent="0.25">
      <c r="A654" s="44" t="s">
        <v>313</v>
      </c>
      <c r="B654" s="274">
        <v>44485</v>
      </c>
      <c r="C654" s="44" t="s">
        <v>1036</v>
      </c>
      <c r="D654" s="275">
        <v>100004958</v>
      </c>
      <c r="E654" s="44" t="s">
        <v>1024</v>
      </c>
      <c r="F654" s="44" t="s">
        <v>1025</v>
      </c>
      <c r="G654" s="44" t="s">
        <v>918</v>
      </c>
      <c r="H654" s="44">
        <v>0</v>
      </c>
      <c r="I654" s="44">
        <v>0</v>
      </c>
      <c r="J654" s="44">
        <v>0</v>
      </c>
      <c r="K654" s="44">
        <v>2</v>
      </c>
      <c r="L654" s="277">
        <v>4243.84</v>
      </c>
      <c r="M654" s="269">
        <f>L654-(H654+I654+J654)*K654</f>
        <v>4243.84</v>
      </c>
    </row>
    <row r="655" spans="1:13" outlineLevel="1" x14ac:dyDescent="0.25">
      <c r="A655" s="286" t="s">
        <v>1083</v>
      </c>
      <c r="B655" s="738"/>
      <c r="C655" s="739"/>
      <c r="D655" s="739"/>
      <c r="E655" s="739"/>
      <c r="F655" s="739"/>
      <c r="G655" s="740"/>
      <c r="H655" s="287"/>
      <c r="I655" s="287"/>
      <c r="J655" s="287"/>
      <c r="K655" s="287"/>
      <c r="L655" s="289"/>
      <c r="M655" s="288">
        <f>SUBTOTAL(9,M654:M654)</f>
        <v>4243.84</v>
      </c>
    </row>
    <row r="656" spans="1:13" outlineLevel="2" x14ac:dyDescent="0.25">
      <c r="A656" s="44" t="s">
        <v>100</v>
      </c>
      <c r="B656" s="274">
        <v>44495</v>
      </c>
      <c r="C656" s="44" t="s">
        <v>1034</v>
      </c>
      <c r="D656" s="275">
        <v>500003105</v>
      </c>
      <c r="E656" s="44" t="s">
        <v>724</v>
      </c>
      <c r="F656" s="44" t="s">
        <v>735</v>
      </c>
      <c r="G656" s="44"/>
      <c r="H656" s="44"/>
      <c r="I656" s="44"/>
      <c r="J656" s="44"/>
      <c r="K656" s="44"/>
      <c r="L656" s="44"/>
      <c r="M656" s="276">
        <v>1441.02</v>
      </c>
    </row>
    <row r="657" spans="1:13" outlineLevel="1" x14ac:dyDescent="0.25">
      <c r="A657" s="286" t="s">
        <v>1084</v>
      </c>
      <c r="B657" s="738"/>
      <c r="C657" s="739"/>
      <c r="D657" s="739"/>
      <c r="E657" s="739"/>
      <c r="F657" s="739"/>
      <c r="G657" s="740"/>
      <c r="H657" s="287"/>
      <c r="I657" s="287"/>
      <c r="J657" s="287"/>
      <c r="K657" s="287"/>
      <c r="L657" s="287"/>
      <c r="M657" s="288">
        <f>SUBTOTAL(9,M656:M656)</f>
        <v>1441.02</v>
      </c>
    </row>
    <row r="658" spans="1:13" outlineLevel="2" x14ac:dyDescent="0.25">
      <c r="A658" s="44" t="s">
        <v>175</v>
      </c>
      <c r="B658" s="274">
        <v>44474</v>
      </c>
      <c r="C658" s="44" t="s">
        <v>1034</v>
      </c>
      <c r="D658" s="275">
        <v>200000058</v>
      </c>
      <c r="E658" s="44" t="s">
        <v>733</v>
      </c>
      <c r="F658" s="44" t="s">
        <v>834</v>
      </c>
      <c r="G658" s="44"/>
      <c r="H658" s="44"/>
      <c r="I658" s="44"/>
      <c r="J658" s="44"/>
      <c r="K658" s="44"/>
      <c r="L658" s="44"/>
      <c r="M658" s="276">
        <v>1500</v>
      </c>
    </row>
    <row r="659" spans="1:13" outlineLevel="2" x14ac:dyDescent="0.25">
      <c r="A659" s="44" t="s">
        <v>175</v>
      </c>
      <c r="B659" s="274">
        <v>44489</v>
      </c>
      <c r="C659" s="44" t="s">
        <v>1032</v>
      </c>
      <c r="D659" s="275">
        <v>6595</v>
      </c>
      <c r="E659" s="44" t="s">
        <v>846</v>
      </c>
      <c r="F659" s="44" t="s">
        <v>877</v>
      </c>
      <c r="G659" s="44" t="s">
        <v>878</v>
      </c>
      <c r="H659" s="44"/>
      <c r="I659" s="44"/>
      <c r="J659" s="44"/>
      <c r="K659" s="44"/>
      <c r="L659" s="44"/>
      <c r="M659" s="276">
        <v>63.11</v>
      </c>
    </row>
    <row r="660" spans="1:13" ht="30" outlineLevel="2" x14ac:dyDescent="0.25">
      <c r="A660" s="44" t="s">
        <v>175</v>
      </c>
      <c r="B660" s="274">
        <v>44473</v>
      </c>
      <c r="C660" s="44" t="s">
        <v>1036</v>
      </c>
      <c r="D660" s="275">
        <v>100004936</v>
      </c>
      <c r="E660" s="44" t="s">
        <v>946</v>
      </c>
      <c r="F660" s="44" t="s">
        <v>947</v>
      </c>
      <c r="G660" s="44" t="s">
        <v>948</v>
      </c>
      <c r="H660" s="44">
        <v>0</v>
      </c>
      <c r="I660" s="44">
        <v>0</v>
      </c>
      <c r="J660" s="44">
        <v>0</v>
      </c>
      <c r="K660" s="44">
        <v>1</v>
      </c>
      <c r="L660" s="44">
        <v>100</v>
      </c>
      <c r="M660" s="269">
        <f>L660-(H660+I660+J660)*K660</f>
        <v>100</v>
      </c>
    </row>
    <row r="661" spans="1:13" outlineLevel="1" x14ac:dyDescent="0.25">
      <c r="A661" s="286" t="s">
        <v>1085</v>
      </c>
      <c r="B661" s="738"/>
      <c r="C661" s="739"/>
      <c r="D661" s="739"/>
      <c r="E661" s="739"/>
      <c r="F661" s="739"/>
      <c r="G661" s="740"/>
      <c r="H661" s="287"/>
      <c r="I661" s="287"/>
      <c r="J661" s="287"/>
      <c r="K661" s="287"/>
      <c r="L661" s="287"/>
      <c r="M661" s="288">
        <f>SUBTOTAL(9,M658:M660)</f>
        <v>1663.11</v>
      </c>
    </row>
    <row r="662" spans="1:13" ht="30" x14ac:dyDescent="0.25">
      <c r="A662" s="272" t="s">
        <v>1086</v>
      </c>
      <c r="B662" s="744"/>
      <c r="C662" s="745"/>
      <c r="D662" s="745"/>
      <c r="E662" s="745"/>
      <c r="F662" s="745"/>
      <c r="G662" s="746"/>
      <c r="H662" s="281"/>
      <c r="I662" s="281"/>
      <c r="J662" s="281"/>
      <c r="K662" s="281"/>
      <c r="L662" s="281"/>
      <c r="M662" s="273">
        <f>SUBTOTAL(9,M4:M660)</f>
        <v>1548447.8609830008</v>
      </c>
    </row>
  </sheetData>
  <autoFilter ref="A3:M660" xr:uid="{00000000-0009-0000-0000-00003B000000}">
    <sortState xmlns:xlrd2="http://schemas.microsoft.com/office/spreadsheetml/2017/richdata2" ref="A4:M593">
      <sortCondition ref="A3:A593"/>
    </sortState>
  </autoFilter>
  <mergeCells count="71">
    <mergeCell ref="B99:G99"/>
    <mergeCell ref="B162:G162"/>
    <mergeCell ref="B141:G141"/>
    <mergeCell ref="B124:G124"/>
    <mergeCell ref="A1:M1"/>
    <mergeCell ref="B97:G97"/>
    <mergeCell ref="B93:G93"/>
    <mergeCell ref="B71:G71"/>
    <mergeCell ref="B50:G50"/>
    <mergeCell ref="B29:G29"/>
    <mergeCell ref="B9:G9"/>
    <mergeCell ref="B7:G7"/>
    <mergeCell ref="B5:G5"/>
    <mergeCell ref="B227:G227"/>
    <mergeCell ref="B224:G224"/>
    <mergeCell ref="B220:G220"/>
    <mergeCell ref="B216:G216"/>
    <mergeCell ref="B211:G211"/>
    <mergeCell ref="B209:G209"/>
    <mergeCell ref="B201:G201"/>
    <mergeCell ref="B190:G190"/>
    <mergeCell ref="B173:G173"/>
    <mergeCell ref="B171:G171"/>
    <mergeCell ref="B188:G188"/>
    <mergeCell ref="B186:G186"/>
    <mergeCell ref="B184:G184"/>
    <mergeCell ref="B182:G182"/>
    <mergeCell ref="B177:G177"/>
    <mergeCell ref="B239:G239"/>
    <mergeCell ref="B384:G384"/>
    <mergeCell ref="B382:G382"/>
    <mergeCell ref="B372:G372"/>
    <mergeCell ref="B369:G369"/>
    <mergeCell ref="B363:G363"/>
    <mergeCell ref="B358:G358"/>
    <mergeCell ref="B361:G361"/>
    <mergeCell ref="B324:G324"/>
    <mergeCell ref="B354:G354"/>
    <mergeCell ref="B276:G276"/>
    <mergeCell ref="B262:G262"/>
    <mergeCell ref="B249:G249"/>
    <mergeCell ref="B243:G243"/>
    <mergeCell ref="B396:G396"/>
    <mergeCell ref="B390:G390"/>
    <mergeCell ref="B442:G442"/>
    <mergeCell ref="B417:G417"/>
    <mergeCell ref="B413:G413"/>
    <mergeCell ref="B584:G584"/>
    <mergeCell ref="B582:G582"/>
    <mergeCell ref="B551:G551"/>
    <mergeCell ref="B547:G547"/>
    <mergeCell ref="B542:G542"/>
    <mergeCell ref="B521:G521"/>
    <mergeCell ref="B519:G519"/>
    <mergeCell ref="B517:G517"/>
    <mergeCell ref="B456:G456"/>
    <mergeCell ref="B454:G454"/>
    <mergeCell ref="B491:G491"/>
    <mergeCell ref="B473:G473"/>
    <mergeCell ref="B464:G464"/>
    <mergeCell ref="B460:G460"/>
    <mergeCell ref="B458:G458"/>
    <mergeCell ref="B636:G636"/>
    <mergeCell ref="B634:G634"/>
    <mergeCell ref="B611:G611"/>
    <mergeCell ref="B600:G600"/>
    <mergeCell ref="B662:G662"/>
    <mergeCell ref="B661:G661"/>
    <mergeCell ref="B657:G657"/>
    <mergeCell ref="B655:G655"/>
    <mergeCell ref="B653:G653"/>
  </mergeCells>
  <pageMargins left="0.7" right="0.7" top="0.75" bottom="0.75" header="0.3" footer="0.3"/>
  <pageSetup paperSize="9"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FFC000"/>
  </sheetPr>
  <dimension ref="A1:H455"/>
  <sheetViews>
    <sheetView topLeftCell="A19" workbookViewId="0">
      <selection activeCell="H22" sqref="H4:H22"/>
    </sheetView>
  </sheetViews>
  <sheetFormatPr baseColWidth="10" defaultRowHeight="15" outlineLevelRow="2" x14ac:dyDescent="0.25"/>
  <cols>
    <col min="1" max="1" width="14.140625" style="290" bestFit="1" customWidth="1"/>
    <col min="2" max="2" width="10.7109375" style="290" customWidth="1"/>
    <col min="3" max="3" width="11.7109375" style="290" customWidth="1"/>
    <col min="4" max="4" width="13" style="290" customWidth="1"/>
    <col min="5" max="5" width="30.28515625" style="290" customWidth="1"/>
    <col min="6" max="6" width="46" style="290" customWidth="1"/>
    <col min="7" max="7" width="30.28515625" style="290" customWidth="1"/>
    <col min="8" max="8" width="14" style="290" bestFit="1" customWidth="1"/>
    <col min="9" max="16384" width="11.42578125" style="290"/>
  </cols>
  <sheetData>
    <row r="1" spans="1:8" x14ac:dyDescent="0.25">
      <c r="A1" s="755" t="s">
        <v>1087</v>
      </c>
      <c r="B1" s="755"/>
      <c r="C1" s="755"/>
      <c r="D1" s="755"/>
      <c r="E1" s="755"/>
      <c r="F1" s="755"/>
      <c r="G1" s="755"/>
      <c r="H1" s="755"/>
    </row>
    <row r="3" spans="1:8" x14ac:dyDescent="0.25">
      <c r="A3" s="272" t="s">
        <v>506</v>
      </c>
      <c r="B3" s="272" t="s">
        <v>525</v>
      </c>
      <c r="C3" s="272" t="s">
        <v>1026</v>
      </c>
      <c r="D3" s="272" t="s">
        <v>1027</v>
      </c>
      <c r="E3" s="272" t="s">
        <v>1028</v>
      </c>
      <c r="F3" s="272" t="s">
        <v>1029</v>
      </c>
      <c r="G3" s="272" t="s">
        <v>1030</v>
      </c>
      <c r="H3" s="273" t="s">
        <v>507</v>
      </c>
    </row>
    <row r="4" spans="1:8" outlineLevel="2" x14ac:dyDescent="0.25">
      <c r="A4" s="44" t="s">
        <v>99</v>
      </c>
      <c r="B4" s="274">
        <v>44470</v>
      </c>
      <c r="C4" s="44" t="s">
        <v>1034</v>
      </c>
      <c r="D4" s="275">
        <v>10400520948</v>
      </c>
      <c r="E4" s="44" t="s">
        <v>716</v>
      </c>
      <c r="F4" s="44" t="s">
        <v>717</v>
      </c>
      <c r="G4" s="44"/>
      <c r="H4" s="276">
        <v>363.64</v>
      </c>
    </row>
    <row r="5" spans="1:8" outlineLevel="2" x14ac:dyDescent="0.25">
      <c r="A5" s="44" t="s">
        <v>99</v>
      </c>
      <c r="B5" s="274">
        <v>44470</v>
      </c>
      <c r="C5" s="44" t="s">
        <v>1034</v>
      </c>
      <c r="D5" s="275">
        <v>10400560760</v>
      </c>
      <c r="E5" s="44" t="s">
        <v>716</v>
      </c>
      <c r="F5" s="44" t="s">
        <v>717</v>
      </c>
      <c r="G5" s="44"/>
      <c r="H5" s="276">
        <v>2269.42</v>
      </c>
    </row>
    <row r="6" spans="1:8" outlineLevel="2" x14ac:dyDescent="0.25">
      <c r="A6" s="44" t="s">
        <v>99</v>
      </c>
      <c r="B6" s="274">
        <v>44470</v>
      </c>
      <c r="C6" s="44" t="s">
        <v>1034</v>
      </c>
      <c r="D6" s="275">
        <v>10400572393</v>
      </c>
      <c r="E6" s="44" t="s">
        <v>716</v>
      </c>
      <c r="F6" s="44" t="s">
        <v>717</v>
      </c>
      <c r="G6" s="44"/>
      <c r="H6" s="276">
        <v>118.18</v>
      </c>
    </row>
    <row r="7" spans="1:8" outlineLevel="2" x14ac:dyDescent="0.25">
      <c r="A7" s="44" t="s">
        <v>99</v>
      </c>
      <c r="B7" s="274">
        <v>44470</v>
      </c>
      <c r="C7" s="44" t="s">
        <v>1034</v>
      </c>
      <c r="D7" s="275">
        <v>60000274229</v>
      </c>
      <c r="E7" s="44" t="s">
        <v>718</v>
      </c>
      <c r="F7" s="44" t="s">
        <v>717</v>
      </c>
      <c r="G7" s="44"/>
      <c r="H7" s="276">
        <v>1707.65</v>
      </c>
    </row>
    <row r="8" spans="1:8" outlineLevel="2" x14ac:dyDescent="0.25">
      <c r="A8" s="44" t="s">
        <v>99</v>
      </c>
      <c r="B8" s="274">
        <v>44470</v>
      </c>
      <c r="C8" s="44" t="s">
        <v>1034</v>
      </c>
      <c r="D8" s="275">
        <v>60000285996</v>
      </c>
      <c r="E8" s="44" t="s">
        <v>718</v>
      </c>
      <c r="F8" s="44" t="s">
        <v>717</v>
      </c>
      <c r="G8" s="44"/>
      <c r="H8" s="276">
        <v>2531.75</v>
      </c>
    </row>
    <row r="9" spans="1:8" ht="30" outlineLevel="2" x14ac:dyDescent="0.25">
      <c r="A9" s="44" t="s">
        <v>99</v>
      </c>
      <c r="B9" s="274">
        <v>44470</v>
      </c>
      <c r="C9" s="44" t="s">
        <v>1034</v>
      </c>
      <c r="D9" s="275">
        <v>62902669209</v>
      </c>
      <c r="E9" s="44" t="s">
        <v>719</v>
      </c>
      <c r="F9" s="44" t="s">
        <v>717</v>
      </c>
      <c r="G9" s="44"/>
      <c r="H9" s="276">
        <v>700.26</v>
      </c>
    </row>
    <row r="10" spans="1:8" outlineLevel="2" x14ac:dyDescent="0.25">
      <c r="A10" s="44" t="s">
        <v>99</v>
      </c>
      <c r="B10" s="274">
        <v>44470</v>
      </c>
      <c r="C10" s="44" t="s">
        <v>1034</v>
      </c>
      <c r="D10" s="275">
        <v>65100019280</v>
      </c>
      <c r="E10" s="44" t="s">
        <v>720</v>
      </c>
      <c r="F10" s="44" t="s">
        <v>721</v>
      </c>
      <c r="G10" s="44"/>
      <c r="H10" s="276">
        <v>1922</v>
      </c>
    </row>
    <row r="11" spans="1:8" outlineLevel="2" x14ac:dyDescent="0.25">
      <c r="A11" s="44" t="s">
        <v>99</v>
      </c>
      <c r="B11" s="274">
        <v>44470</v>
      </c>
      <c r="C11" s="44" t="s">
        <v>1034</v>
      </c>
      <c r="D11" s="275">
        <v>65100019280</v>
      </c>
      <c r="E11" s="44" t="s">
        <v>720</v>
      </c>
      <c r="F11" s="44" t="s">
        <v>722</v>
      </c>
      <c r="G11" s="44"/>
      <c r="H11" s="276">
        <v>272</v>
      </c>
    </row>
    <row r="12" spans="1:8" outlineLevel="2" x14ac:dyDescent="0.25">
      <c r="A12" s="44" t="s">
        <v>99</v>
      </c>
      <c r="B12" s="274">
        <v>44470</v>
      </c>
      <c r="C12" s="44" t="s">
        <v>1034</v>
      </c>
      <c r="D12" s="275">
        <v>501300168825</v>
      </c>
      <c r="E12" s="44" t="s">
        <v>723</v>
      </c>
      <c r="F12" s="44" t="s">
        <v>717</v>
      </c>
      <c r="G12" s="44"/>
      <c r="H12" s="276">
        <v>744.22</v>
      </c>
    </row>
    <row r="13" spans="1:8" outlineLevel="2" x14ac:dyDescent="0.25">
      <c r="A13" s="44" t="s">
        <v>99</v>
      </c>
      <c r="B13" s="274">
        <v>44484</v>
      </c>
      <c r="C13" s="44" t="s">
        <v>1034</v>
      </c>
      <c r="D13" s="275">
        <v>501300183869</v>
      </c>
      <c r="E13" s="44" t="s">
        <v>723</v>
      </c>
      <c r="F13" s="44" t="s">
        <v>717</v>
      </c>
      <c r="G13" s="44"/>
      <c r="H13" s="276">
        <v>749.31</v>
      </c>
    </row>
    <row r="14" spans="1:8" ht="30" outlineLevel="2" x14ac:dyDescent="0.25">
      <c r="A14" s="44" t="s">
        <v>99</v>
      </c>
      <c r="B14" s="274">
        <v>44488</v>
      </c>
      <c r="C14" s="44" t="s">
        <v>1034</v>
      </c>
      <c r="D14" s="275">
        <v>62902744239</v>
      </c>
      <c r="E14" s="44" t="s">
        <v>719</v>
      </c>
      <c r="F14" s="44" t="s">
        <v>717</v>
      </c>
      <c r="G14" s="44"/>
      <c r="H14" s="276">
        <v>355.04</v>
      </c>
    </row>
    <row r="15" spans="1:8" outlineLevel="2" x14ac:dyDescent="0.25">
      <c r="A15" s="44" t="s">
        <v>99</v>
      </c>
      <c r="B15" s="274">
        <v>44491</v>
      </c>
      <c r="C15" s="44" t="s">
        <v>1034</v>
      </c>
      <c r="D15" s="275">
        <v>10400754323</v>
      </c>
      <c r="E15" s="44" t="s">
        <v>716</v>
      </c>
      <c r="F15" s="44" t="s">
        <v>717</v>
      </c>
      <c r="G15" s="44"/>
      <c r="H15" s="276">
        <v>1411.57</v>
      </c>
    </row>
    <row r="16" spans="1:8" outlineLevel="2" x14ac:dyDescent="0.25">
      <c r="A16" s="44" t="s">
        <v>99</v>
      </c>
      <c r="B16" s="274">
        <v>44495</v>
      </c>
      <c r="C16" s="44" t="s">
        <v>1034</v>
      </c>
      <c r="D16" s="275">
        <v>500003105</v>
      </c>
      <c r="E16" s="44" t="s">
        <v>724</v>
      </c>
      <c r="F16" s="44" t="s">
        <v>725</v>
      </c>
      <c r="G16" s="44"/>
      <c r="H16" s="276">
        <v>898.98</v>
      </c>
    </row>
    <row r="17" spans="1:8" outlineLevel="2" x14ac:dyDescent="0.25">
      <c r="A17" s="44" t="s">
        <v>99</v>
      </c>
      <c r="B17" s="274">
        <v>44496</v>
      </c>
      <c r="C17" s="44" t="s">
        <v>1034</v>
      </c>
      <c r="D17" s="275">
        <v>65100019922</v>
      </c>
      <c r="E17" s="44" t="s">
        <v>720</v>
      </c>
      <c r="F17" s="44" t="s">
        <v>726</v>
      </c>
      <c r="G17" s="44"/>
      <c r="H17" s="276">
        <v>1922</v>
      </c>
    </row>
    <row r="18" spans="1:8" outlineLevel="2" x14ac:dyDescent="0.25">
      <c r="A18" s="44" t="s">
        <v>99</v>
      </c>
      <c r="B18" s="274">
        <v>44496</v>
      </c>
      <c r="C18" s="44" t="s">
        <v>1034</v>
      </c>
      <c r="D18" s="275">
        <v>65100019922</v>
      </c>
      <c r="E18" s="44" t="s">
        <v>720</v>
      </c>
      <c r="F18" s="44" t="s">
        <v>727</v>
      </c>
      <c r="G18" s="44"/>
      <c r="H18" s="276">
        <v>272</v>
      </c>
    </row>
    <row r="19" spans="1:8" outlineLevel="2" x14ac:dyDescent="0.25">
      <c r="A19" s="44" t="s">
        <v>99</v>
      </c>
      <c r="B19" s="274">
        <v>44500</v>
      </c>
      <c r="C19" s="44" t="s">
        <v>1034</v>
      </c>
      <c r="D19" s="275">
        <v>60000298248</v>
      </c>
      <c r="E19" s="44" t="s">
        <v>718</v>
      </c>
      <c r="F19" s="44" t="s">
        <v>717</v>
      </c>
      <c r="G19" s="44"/>
      <c r="H19" s="276">
        <v>2546.42</v>
      </c>
    </row>
    <row r="20" spans="1:8" outlineLevel="2" x14ac:dyDescent="0.25">
      <c r="A20" s="44" t="s">
        <v>99</v>
      </c>
      <c r="B20" s="274">
        <v>44490</v>
      </c>
      <c r="C20" s="44" t="s">
        <v>1036</v>
      </c>
      <c r="D20" s="275">
        <v>100004962</v>
      </c>
      <c r="E20" s="44" t="s">
        <v>716</v>
      </c>
      <c r="F20" s="44" t="s">
        <v>717</v>
      </c>
      <c r="G20" s="44" t="s">
        <v>914</v>
      </c>
      <c r="H20" s="269">
        <v>1066.1158499999999</v>
      </c>
    </row>
    <row r="21" spans="1:8" ht="30" outlineLevel="2" x14ac:dyDescent="0.25">
      <c r="A21" s="44" t="s">
        <v>99</v>
      </c>
      <c r="B21" s="274">
        <v>44490</v>
      </c>
      <c r="C21" s="44" t="s">
        <v>1036</v>
      </c>
      <c r="D21" s="275">
        <v>100004962</v>
      </c>
      <c r="E21" s="44" t="s">
        <v>915</v>
      </c>
      <c r="F21" s="44" t="s">
        <v>717</v>
      </c>
      <c r="G21" s="44" t="s">
        <v>914</v>
      </c>
      <c r="H21" s="269">
        <v>2139.6693</v>
      </c>
    </row>
    <row r="22" spans="1:8" outlineLevel="2" x14ac:dyDescent="0.25">
      <c r="A22" s="44" t="s">
        <v>99</v>
      </c>
      <c r="B22" s="274">
        <v>44498</v>
      </c>
      <c r="C22" s="44" t="s">
        <v>1036</v>
      </c>
      <c r="D22" s="275">
        <v>100004991</v>
      </c>
      <c r="E22" s="44" t="s">
        <v>916</v>
      </c>
      <c r="F22" s="44" t="s">
        <v>917</v>
      </c>
      <c r="G22" s="44" t="s">
        <v>918</v>
      </c>
      <c r="H22" s="269">
        <v>3305.7761999999998</v>
      </c>
    </row>
    <row r="23" spans="1:8" outlineLevel="1" x14ac:dyDescent="0.25">
      <c r="A23" s="291" t="s">
        <v>639</v>
      </c>
      <c r="B23" s="741"/>
      <c r="C23" s="742"/>
      <c r="D23" s="742"/>
      <c r="E23" s="742"/>
      <c r="F23" s="742"/>
      <c r="G23" s="743"/>
      <c r="H23" s="285">
        <f>SUBTOTAL(9,H4:H22)</f>
        <v>25296.001349999999</v>
      </c>
    </row>
    <row r="24" spans="1:8" hidden="1" outlineLevel="2" x14ac:dyDescent="0.25">
      <c r="A24" s="44" t="s">
        <v>105</v>
      </c>
      <c r="B24" s="274">
        <v>44470</v>
      </c>
      <c r="C24" s="44" t="s">
        <v>1034</v>
      </c>
      <c r="D24" s="275">
        <v>10400560760</v>
      </c>
      <c r="E24" s="44" t="s">
        <v>716</v>
      </c>
      <c r="F24" s="44" t="s">
        <v>717</v>
      </c>
      <c r="G24" s="44"/>
      <c r="H24" s="276">
        <v>3708.26</v>
      </c>
    </row>
    <row r="25" spans="1:8" hidden="1" outlineLevel="2" x14ac:dyDescent="0.25">
      <c r="A25" s="44" t="s">
        <v>105</v>
      </c>
      <c r="B25" s="274">
        <v>44470</v>
      </c>
      <c r="C25" s="44" t="s">
        <v>1034</v>
      </c>
      <c r="D25" s="275">
        <v>10400572393</v>
      </c>
      <c r="E25" s="44" t="s">
        <v>716</v>
      </c>
      <c r="F25" s="44" t="s">
        <v>717</v>
      </c>
      <c r="G25" s="44"/>
      <c r="H25" s="276">
        <v>763.64</v>
      </c>
    </row>
    <row r="26" spans="1:8" hidden="1" outlineLevel="2" x14ac:dyDescent="0.25">
      <c r="A26" s="44" t="s">
        <v>105</v>
      </c>
      <c r="B26" s="274">
        <v>44470</v>
      </c>
      <c r="C26" s="44" t="s">
        <v>1034</v>
      </c>
      <c r="D26" s="275">
        <v>65100019280</v>
      </c>
      <c r="E26" s="44" t="s">
        <v>720</v>
      </c>
      <c r="F26" s="44" t="s">
        <v>721</v>
      </c>
      <c r="G26" s="44"/>
      <c r="H26" s="276">
        <v>1922</v>
      </c>
    </row>
    <row r="27" spans="1:8" hidden="1" outlineLevel="2" x14ac:dyDescent="0.25">
      <c r="A27" s="44" t="s">
        <v>105</v>
      </c>
      <c r="B27" s="274">
        <v>44470</v>
      </c>
      <c r="C27" s="44" t="s">
        <v>1034</v>
      </c>
      <c r="D27" s="275">
        <v>65100019280</v>
      </c>
      <c r="E27" s="44" t="s">
        <v>720</v>
      </c>
      <c r="F27" s="44" t="s">
        <v>722</v>
      </c>
      <c r="G27" s="44"/>
      <c r="H27" s="276">
        <v>272</v>
      </c>
    </row>
    <row r="28" spans="1:8" hidden="1" outlineLevel="2" x14ac:dyDescent="0.25">
      <c r="A28" s="44" t="s">
        <v>105</v>
      </c>
      <c r="B28" s="274">
        <v>44491</v>
      </c>
      <c r="C28" s="44" t="s">
        <v>1034</v>
      </c>
      <c r="D28" s="275">
        <v>10400676781</v>
      </c>
      <c r="E28" s="44" t="s">
        <v>716</v>
      </c>
      <c r="F28" s="44" t="s">
        <v>717</v>
      </c>
      <c r="G28" s="44"/>
      <c r="H28" s="276">
        <v>381.82</v>
      </c>
    </row>
    <row r="29" spans="1:8" hidden="1" outlineLevel="2" x14ac:dyDescent="0.25">
      <c r="A29" s="44" t="s">
        <v>105</v>
      </c>
      <c r="B29" s="274">
        <v>44491</v>
      </c>
      <c r="C29" s="44" t="s">
        <v>1034</v>
      </c>
      <c r="D29" s="275">
        <v>10400754323</v>
      </c>
      <c r="E29" s="44" t="s">
        <v>716</v>
      </c>
      <c r="F29" s="44" t="s">
        <v>717</v>
      </c>
      <c r="G29" s="44"/>
      <c r="H29" s="276">
        <v>4034.71</v>
      </c>
    </row>
    <row r="30" spans="1:8" hidden="1" outlineLevel="2" x14ac:dyDescent="0.25">
      <c r="A30" s="44" t="s">
        <v>105</v>
      </c>
      <c r="B30" s="274">
        <v>44495</v>
      </c>
      <c r="C30" s="44" t="s">
        <v>1034</v>
      </c>
      <c r="D30" s="275">
        <v>500003105</v>
      </c>
      <c r="E30" s="44" t="s">
        <v>724</v>
      </c>
      <c r="F30" s="44" t="s">
        <v>725</v>
      </c>
      <c r="G30" s="44"/>
      <c r="H30" s="276">
        <v>1797.96</v>
      </c>
    </row>
    <row r="31" spans="1:8" hidden="1" outlineLevel="2" x14ac:dyDescent="0.25">
      <c r="A31" s="44" t="s">
        <v>105</v>
      </c>
      <c r="B31" s="274">
        <v>44496</v>
      </c>
      <c r="C31" s="44" t="s">
        <v>1034</v>
      </c>
      <c r="D31" s="275">
        <v>300000103</v>
      </c>
      <c r="E31" s="44" t="s">
        <v>728</v>
      </c>
      <c r="F31" s="44" t="s">
        <v>729</v>
      </c>
      <c r="G31" s="44"/>
      <c r="H31" s="276">
        <v>495.87</v>
      </c>
    </row>
    <row r="32" spans="1:8" hidden="1" outlineLevel="2" x14ac:dyDescent="0.25">
      <c r="A32" s="44" t="s">
        <v>105</v>
      </c>
      <c r="B32" s="274">
        <v>44496</v>
      </c>
      <c r="C32" s="44" t="s">
        <v>1034</v>
      </c>
      <c r="D32" s="275">
        <v>65100019922</v>
      </c>
      <c r="E32" s="44" t="s">
        <v>720</v>
      </c>
      <c r="F32" s="44" t="s">
        <v>726</v>
      </c>
      <c r="G32" s="44"/>
      <c r="H32" s="276">
        <v>1922</v>
      </c>
    </row>
    <row r="33" spans="1:8" hidden="1" outlineLevel="2" x14ac:dyDescent="0.25">
      <c r="A33" s="44" t="s">
        <v>105</v>
      </c>
      <c r="B33" s="274">
        <v>44496</v>
      </c>
      <c r="C33" s="44" t="s">
        <v>1034</v>
      </c>
      <c r="D33" s="275">
        <v>65100019922</v>
      </c>
      <c r="E33" s="44" t="s">
        <v>720</v>
      </c>
      <c r="F33" s="44" t="s">
        <v>727</v>
      </c>
      <c r="G33" s="44"/>
      <c r="H33" s="276">
        <v>272</v>
      </c>
    </row>
    <row r="34" spans="1:8" hidden="1" outlineLevel="2" x14ac:dyDescent="0.25">
      <c r="A34" s="44" t="s">
        <v>105</v>
      </c>
      <c r="B34" s="274">
        <v>44476</v>
      </c>
      <c r="C34" s="44" t="s">
        <v>1032</v>
      </c>
      <c r="D34" s="275">
        <v>6584</v>
      </c>
      <c r="E34" s="44" t="s">
        <v>846</v>
      </c>
      <c r="F34" s="44" t="s">
        <v>847</v>
      </c>
      <c r="G34" s="44" t="s">
        <v>848</v>
      </c>
      <c r="H34" s="276">
        <v>1570.84</v>
      </c>
    </row>
    <row r="35" spans="1:8" hidden="1" outlineLevel="2" x14ac:dyDescent="0.25">
      <c r="A35" s="44" t="s">
        <v>105</v>
      </c>
      <c r="B35" s="274">
        <v>44476</v>
      </c>
      <c r="C35" s="44" t="s">
        <v>1032</v>
      </c>
      <c r="D35" s="275">
        <v>6584</v>
      </c>
      <c r="E35" s="44" t="s">
        <v>846</v>
      </c>
      <c r="F35" s="44" t="s">
        <v>849</v>
      </c>
      <c r="G35" s="44" t="s">
        <v>850</v>
      </c>
      <c r="H35" s="276">
        <v>1476.09</v>
      </c>
    </row>
    <row r="36" spans="1:8" hidden="1" outlineLevel="2" x14ac:dyDescent="0.25">
      <c r="A36" s="44" t="s">
        <v>105</v>
      </c>
      <c r="B36" s="274">
        <v>44476</v>
      </c>
      <c r="C36" s="44" t="s">
        <v>1032</v>
      </c>
      <c r="D36" s="275">
        <v>6584</v>
      </c>
      <c r="E36" s="44" t="s">
        <v>846</v>
      </c>
      <c r="F36" s="44" t="s">
        <v>851</v>
      </c>
      <c r="G36" s="44" t="s">
        <v>852</v>
      </c>
      <c r="H36" s="276">
        <v>1108.24</v>
      </c>
    </row>
    <row r="37" spans="1:8" hidden="1" outlineLevel="2" x14ac:dyDescent="0.25">
      <c r="A37" s="44" t="s">
        <v>105</v>
      </c>
      <c r="B37" s="274">
        <v>44476</v>
      </c>
      <c r="C37" s="44" t="s">
        <v>1032</v>
      </c>
      <c r="D37" s="275">
        <v>6584</v>
      </c>
      <c r="E37" s="44" t="s">
        <v>846</v>
      </c>
      <c r="F37" s="44" t="s">
        <v>853</v>
      </c>
      <c r="G37" s="44" t="s">
        <v>854</v>
      </c>
      <c r="H37" s="276">
        <v>3678.05</v>
      </c>
    </row>
    <row r="38" spans="1:8" hidden="1" outlineLevel="2" x14ac:dyDescent="0.25">
      <c r="A38" s="44" t="s">
        <v>105</v>
      </c>
      <c r="B38" s="274">
        <v>44483</v>
      </c>
      <c r="C38" s="44" t="s">
        <v>1036</v>
      </c>
      <c r="D38" s="275">
        <v>100004951</v>
      </c>
      <c r="E38" s="44" t="s">
        <v>919</v>
      </c>
      <c r="F38" s="44" t="s">
        <v>920</v>
      </c>
      <c r="G38" s="44" t="s">
        <v>921</v>
      </c>
      <c r="H38" s="269">
        <v>1450</v>
      </c>
    </row>
    <row r="39" spans="1:8" hidden="1" outlineLevel="2" x14ac:dyDescent="0.25">
      <c r="A39" s="44" t="s">
        <v>105</v>
      </c>
      <c r="B39" s="274">
        <v>44483</v>
      </c>
      <c r="C39" s="44" t="s">
        <v>1036</v>
      </c>
      <c r="D39" s="275">
        <v>100004951</v>
      </c>
      <c r="E39" s="44" t="s">
        <v>716</v>
      </c>
      <c r="F39" s="44" t="s">
        <v>717</v>
      </c>
      <c r="G39" s="44" t="s">
        <v>921</v>
      </c>
      <c r="H39" s="269">
        <v>1157.02475</v>
      </c>
    </row>
    <row r="40" spans="1:8" ht="30" hidden="1" outlineLevel="2" x14ac:dyDescent="0.25">
      <c r="A40" s="44" t="s">
        <v>105</v>
      </c>
      <c r="B40" s="274">
        <v>44483</v>
      </c>
      <c r="C40" s="44" t="s">
        <v>1036</v>
      </c>
      <c r="D40" s="275">
        <v>100004951</v>
      </c>
      <c r="E40" s="44" t="s">
        <v>915</v>
      </c>
      <c r="F40" s="44" t="s">
        <v>717</v>
      </c>
      <c r="G40" s="44" t="s">
        <v>921</v>
      </c>
      <c r="H40" s="269">
        <v>3566.1158500000001</v>
      </c>
    </row>
    <row r="41" spans="1:8" hidden="1" outlineLevel="2" x14ac:dyDescent="0.25">
      <c r="A41" s="44" t="s">
        <v>105</v>
      </c>
      <c r="B41" s="274">
        <v>44483</v>
      </c>
      <c r="C41" s="44" t="s">
        <v>1036</v>
      </c>
      <c r="D41" s="275">
        <v>100004951</v>
      </c>
      <c r="E41" s="44" t="s">
        <v>922</v>
      </c>
      <c r="F41" s="44" t="s">
        <v>923</v>
      </c>
      <c r="G41" s="44" t="s">
        <v>921</v>
      </c>
      <c r="H41" s="269">
        <v>580</v>
      </c>
    </row>
    <row r="42" spans="1:8" hidden="1" outlineLevel="2" x14ac:dyDescent="0.25">
      <c r="A42" s="44" t="s">
        <v>105</v>
      </c>
      <c r="B42" s="274">
        <v>44498</v>
      </c>
      <c r="C42" s="44" t="s">
        <v>1036</v>
      </c>
      <c r="D42" s="275">
        <v>100004988</v>
      </c>
      <c r="E42" s="44" t="s">
        <v>716</v>
      </c>
      <c r="F42" s="44" t="s">
        <v>717</v>
      </c>
      <c r="G42" s="44" t="s">
        <v>921</v>
      </c>
      <c r="H42" s="269">
        <v>776.85940000000005</v>
      </c>
    </row>
    <row r="43" spans="1:8" ht="30" hidden="1" outlineLevel="2" x14ac:dyDescent="0.25">
      <c r="A43" s="44" t="s">
        <v>105</v>
      </c>
      <c r="B43" s="274">
        <v>44498</v>
      </c>
      <c r="C43" s="44" t="s">
        <v>1036</v>
      </c>
      <c r="D43" s="275">
        <v>100004988</v>
      </c>
      <c r="E43" s="44" t="s">
        <v>915</v>
      </c>
      <c r="F43" s="44" t="s">
        <v>717</v>
      </c>
      <c r="G43" s="44" t="s">
        <v>921</v>
      </c>
      <c r="H43" s="269">
        <v>713.22379999999998</v>
      </c>
    </row>
    <row r="44" spans="1:8" outlineLevel="1" collapsed="1" x14ac:dyDescent="0.25">
      <c r="A44" s="282" t="s">
        <v>640</v>
      </c>
      <c r="B44" s="741"/>
      <c r="C44" s="742"/>
      <c r="D44" s="742"/>
      <c r="E44" s="742"/>
      <c r="F44" s="742"/>
      <c r="G44" s="743"/>
      <c r="H44" s="285">
        <f>SUBTOTAL(9,H24:H43)</f>
        <v>31646.703800000003</v>
      </c>
    </row>
    <row r="45" spans="1:8" hidden="1" outlineLevel="2" x14ac:dyDescent="0.25">
      <c r="A45" s="44" t="s">
        <v>117</v>
      </c>
      <c r="B45" s="274">
        <v>44470</v>
      </c>
      <c r="C45" s="44" t="s">
        <v>1034</v>
      </c>
      <c r="D45" s="275">
        <v>10400560760</v>
      </c>
      <c r="E45" s="44" t="s">
        <v>716</v>
      </c>
      <c r="F45" s="44" t="s">
        <v>717</v>
      </c>
      <c r="G45" s="44"/>
      <c r="H45" s="276">
        <v>4892.5600000000004</v>
      </c>
    </row>
    <row r="46" spans="1:8" hidden="1" outlineLevel="2" x14ac:dyDescent="0.25">
      <c r="A46" s="44" t="s">
        <v>117</v>
      </c>
      <c r="B46" s="274">
        <v>44470</v>
      </c>
      <c r="C46" s="44" t="s">
        <v>1034</v>
      </c>
      <c r="D46" s="275">
        <v>10400572393</v>
      </c>
      <c r="E46" s="44" t="s">
        <v>716</v>
      </c>
      <c r="F46" s="44" t="s">
        <v>717</v>
      </c>
      <c r="G46" s="44"/>
      <c r="H46" s="276">
        <v>381.82</v>
      </c>
    </row>
    <row r="47" spans="1:8" hidden="1" outlineLevel="2" x14ac:dyDescent="0.25">
      <c r="A47" s="44" t="s">
        <v>117</v>
      </c>
      <c r="B47" s="274">
        <v>44470</v>
      </c>
      <c r="C47" s="44" t="s">
        <v>1034</v>
      </c>
      <c r="D47" s="275">
        <v>60000274229</v>
      </c>
      <c r="E47" s="44" t="s">
        <v>718</v>
      </c>
      <c r="F47" s="44" t="s">
        <v>717</v>
      </c>
      <c r="G47" s="44"/>
      <c r="H47" s="276">
        <v>1116.3900000000001</v>
      </c>
    </row>
    <row r="48" spans="1:8" hidden="1" outlineLevel="2" x14ac:dyDescent="0.25">
      <c r="A48" s="44" t="s">
        <v>117</v>
      </c>
      <c r="B48" s="274">
        <v>44470</v>
      </c>
      <c r="C48" s="44" t="s">
        <v>1034</v>
      </c>
      <c r="D48" s="275">
        <v>65100019280</v>
      </c>
      <c r="E48" s="44" t="s">
        <v>720</v>
      </c>
      <c r="F48" s="44" t="s">
        <v>721</v>
      </c>
      <c r="G48" s="44"/>
      <c r="H48" s="276">
        <v>1922</v>
      </c>
    </row>
    <row r="49" spans="1:8" hidden="1" outlineLevel="2" x14ac:dyDescent="0.25">
      <c r="A49" s="44" t="s">
        <v>117</v>
      </c>
      <c r="B49" s="274">
        <v>44470</v>
      </c>
      <c r="C49" s="44" t="s">
        <v>1034</v>
      </c>
      <c r="D49" s="275">
        <v>65100019280</v>
      </c>
      <c r="E49" s="44" t="s">
        <v>720</v>
      </c>
      <c r="F49" s="44" t="s">
        <v>722</v>
      </c>
      <c r="G49" s="44"/>
      <c r="H49" s="276">
        <v>272</v>
      </c>
    </row>
    <row r="50" spans="1:8" ht="30" hidden="1" outlineLevel="2" x14ac:dyDescent="0.25">
      <c r="A50" s="44" t="s">
        <v>117</v>
      </c>
      <c r="B50" s="274">
        <v>44473</v>
      </c>
      <c r="C50" s="44" t="s">
        <v>1034</v>
      </c>
      <c r="D50" s="275">
        <v>6100301594</v>
      </c>
      <c r="E50" s="44" t="s">
        <v>730</v>
      </c>
      <c r="F50" s="44" t="s">
        <v>717</v>
      </c>
      <c r="G50" s="44"/>
      <c r="H50" s="276">
        <v>686</v>
      </c>
    </row>
    <row r="51" spans="1:8" hidden="1" outlineLevel="2" x14ac:dyDescent="0.25">
      <c r="A51" s="44" t="s">
        <v>117</v>
      </c>
      <c r="B51" s="274">
        <v>44473</v>
      </c>
      <c r="C51" s="44" t="s">
        <v>1034</v>
      </c>
      <c r="D51" s="275">
        <v>501300176437</v>
      </c>
      <c r="E51" s="44" t="s">
        <v>723</v>
      </c>
      <c r="F51" s="44" t="s">
        <v>717</v>
      </c>
      <c r="G51" s="44"/>
      <c r="H51" s="276">
        <v>102.85</v>
      </c>
    </row>
    <row r="52" spans="1:8" hidden="1" outlineLevel="2" x14ac:dyDescent="0.25">
      <c r="A52" s="44" t="s">
        <v>117</v>
      </c>
      <c r="B52" s="274">
        <v>44484</v>
      </c>
      <c r="C52" s="44" t="s">
        <v>1034</v>
      </c>
      <c r="D52" s="275">
        <v>600011030</v>
      </c>
      <c r="E52" s="44" t="s">
        <v>731</v>
      </c>
      <c r="F52" s="44" t="s">
        <v>732</v>
      </c>
      <c r="G52" s="44"/>
      <c r="H52" s="276">
        <v>6000</v>
      </c>
    </row>
    <row r="53" spans="1:8" hidden="1" outlineLevel="2" x14ac:dyDescent="0.25">
      <c r="A53" s="44" t="s">
        <v>117</v>
      </c>
      <c r="B53" s="274">
        <v>44491</v>
      </c>
      <c r="C53" s="44" t="s">
        <v>1034</v>
      </c>
      <c r="D53" s="275">
        <v>10400676781</v>
      </c>
      <c r="E53" s="44" t="s">
        <v>716</v>
      </c>
      <c r="F53" s="44" t="s">
        <v>717</v>
      </c>
      <c r="G53" s="44"/>
      <c r="H53" s="276">
        <v>381.82</v>
      </c>
    </row>
    <row r="54" spans="1:8" hidden="1" outlineLevel="2" x14ac:dyDescent="0.25">
      <c r="A54" s="44" t="s">
        <v>117</v>
      </c>
      <c r="B54" s="274">
        <v>44491</v>
      </c>
      <c r="C54" s="44" t="s">
        <v>1034</v>
      </c>
      <c r="D54" s="275">
        <v>10400754323</v>
      </c>
      <c r="E54" s="44" t="s">
        <v>716</v>
      </c>
      <c r="F54" s="44" t="s">
        <v>717</v>
      </c>
      <c r="G54" s="44"/>
      <c r="H54" s="276">
        <v>4180.17</v>
      </c>
    </row>
    <row r="55" spans="1:8" hidden="1" outlineLevel="2" x14ac:dyDescent="0.25">
      <c r="A55" s="44" t="s">
        <v>117</v>
      </c>
      <c r="B55" s="274">
        <v>44495</v>
      </c>
      <c r="C55" s="44" t="s">
        <v>1034</v>
      </c>
      <c r="D55" s="275">
        <v>500003105</v>
      </c>
      <c r="E55" s="44" t="s">
        <v>724</v>
      </c>
      <c r="F55" s="44" t="s">
        <v>725</v>
      </c>
      <c r="G55" s="44"/>
      <c r="H55" s="276">
        <v>898.98</v>
      </c>
    </row>
    <row r="56" spans="1:8" hidden="1" outlineLevel="2" x14ac:dyDescent="0.25">
      <c r="A56" s="44" t="s">
        <v>117</v>
      </c>
      <c r="B56" s="274">
        <v>44496</v>
      </c>
      <c r="C56" s="44" t="s">
        <v>1034</v>
      </c>
      <c r="D56" s="275">
        <v>65100019922</v>
      </c>
      <c r="E56" s="44" t="s">
        <v>720</v>
      </c>
      <c r="F56" s="44" t="s">
        <v>726</v>
      </c>
      <c r="G56" s="44"/>
      <c r="H56" s="276">
        <v>1922</v>
      </c>
    </row>
    <row r="57" spans="1:8" hidden="1" outlineLevel="2" x14ac:dyDescent="0.25">
      <c r="A57" s="44" t="s">
        <v>117</v>
      </c>
      <c r="B57" s="274">
        <v>44496</v>
      </c>
      <c r="C57" s="44" t="s">
        <v>1034</v>
      </c>
      <c r="D57" s="275">
        <v>65100019922</v>
      </c>
      <c r="E57" s="44" t="s">
        <v>720</v>
      </c>
      <c r="F57" s="44" t="s">
        <v>727</v>
      </c>
      <c r="G57" s="44"/>
      <c r="H57" s="276">
        <v>272</v>
      </c>
    </row>
    <row r="58" spans="1:8" hidden="1" outlineLevel="2" x14ac:dyDescent="0.25">
      <c r="A58" s="44" t="s">
        <v>117</v>
      </c>
      <c r="B58" s="274">
        <v>44500</v>
      </c>
      <c r="C58" s="44" t="s">
        <v>1034</v>
      </c>
      <c r="D58" s="275">
        <v>60000298248</v>
      </c>
      <c r="E58" s="44" t="s">
        <v>718</v>
      </c>
      <c r="F58" s="44" t="s">
        <v>717</v>
      </c>
      <c r="G58" s="44"/>
      <c r="H58" s="276">
        <v>1240.1600000000001</v>
      </c>
    </row>
    <row r="59" spans="1:8" hidden="1" outlineLevel="2" x14ac:dyDescent="0.25">
      <c r="A59" s="44" t="s">
        <v>117</v>
      </c>
      <c r="B59" s="274">
        <v>44483</v>
      </c>
      <c r="C59" s="44" t="s">
        <v>1036</v>
      </c>
      <c r="D59" s="275">
        <v>100004947</v>
      </c>
      <c r="E59" s="44" t="s">
        <v>716</v>
      </c>
      <c r="F59" s="44" t="s">
        <v>717</v>
      </c>
      <c r="G59" s="44" t="s">
        <v>924</v>
      </c>
      <c r="H59" s="269">
        <v>462.80989999999997</v>
      </c>
    </row>
    <row r="60" spans="1:8" ht="30" hidden="1" outlineLevel="2" x14ac:dyDescent="0.25">
      <c r="A60" s="44" t="s">
        <v>117</v>
      </c>
      <c r="B60" s="274">
        <v>44483</v>
      </c>
      <c r="C60" s="44" t="s">
        <v>1036</v>
      </c>
      <c r="D60" s="275">
        <v>100004947</v>
      </c>
      <c r="E60" s="44" t="s">
        <v>915</v>
      </c>
      <c r="F60" s="44" t="s">
        <v>717</v>
      </c>
      <c r="G60" s="44" t="s">
        <v>924</v>
      </c>
      <c r="H60" s="269">
        <v>1426.4455</v>
      </c>
    </row>
    <row r="61" spans="1:8" hidden="1" outlineLevel="2" x14ac:dyDescent="0.25">
      <c r="A61" s="44" t="s">
        <v>117</v>
      </c>
      <c r="B61" s="274">
        <v>44483</v>
      </c>
      <c r="C61" s="44" t="s">
        <v>1036</v>
      </c>
      <c r="D61" s="275">
        <v>100004949</v>
      </c>
      <c r="E61" s="44" t="s">
        <v>716</v>
      </c>
      <c r="F61" s="44" t="s">
        <v>717</v>
      </c>
      <c r="G61" s="44" t="s">
        <v>925</v>
      </c>
      <c r="H61" s="269">
        <v>826.44550000000004</v>
      </c>
    </row>
    <row r="62" spans="1:8" ht="30" hidden="1" outlineLevel="2" x14ac:dyDescent="0.25">
      <c r="A62" s="44" t="s">
        <v>117</v>
      </c>
      <c r="B62" s="274">
        <v>44483</v>
      </c>
      <c r="C62" s="44" t="s">
        <v>1036</v>
      </c>
      <c r="D62" s="275">
        <v>100004949</v>
      </c>
      <c r="E62" s="44" t="s">
        <v>915</v>
      </c>
      <c r="F62" s="44" t="s">
        <v>717</v>
      </c>
      <c r="G62" s="44" t="s">
        <v>925</v>
      </c>
      <c r="H62" s="269">
        <v>1426.4455</v>
      </c>
    </row>
    <row r="63" spans="1:8" hidden="1" outlineLevel="2" x14ac:dyDescent="0.25">
      <c r="A63" s="44" t="s">
        <v>117</v>
      </c>
      <c r="B63" s="274">
        <v>44498</v>
      </c>
      <c r="C63" s="44" t="s">
        <v>1036</v>
      </c>
      <c r="D63" s="275">
        <v>100004987</v>
      </c>
      <c r="E63" s="44" t="s">
        <v>716</v>
      </c>
      <c r="F63" s="44" t="s">
        <v>717</v>
      </c>
      <c r="G63" s="44" t="s">
        <v>925</v>
      </c>
      <c r="H63" s="269">
        <v>1041.3227999999999</v>
      </c>
    </row>
    <row r="64" spans="1:8" ht="30" hidden="1" outlineLevel="2" x14ac:dyDescent="0.25">
      <c r="A64" s="44" t="s">
        <v>117</v>
      </c>
      <c r="B64" s="274">
        <v>44498</v>
      </c>
      <c r="C64" s="44" t="s">
        <v>1036</v>
      </c>
      <c r="D64" s="275">
        <v>100004987</v>
      </c>
      <c r="E64" s="44" t="s">
        <v>915</v>
      </c>
      <c r="F64" s="44" t="s">
        <v>717</v>
      </c>
      <c r="G64" s="44" t="s">
        <v>925</v>
      </c>
      <c r="H64" s="269">
        <v>4279.3386</v>
      </c>
    </row>
    <row r="65" spans="1:8" outlineLevel="1" collapsed="1" x14ac:dyDescent="0.25">
      <c r="A65" s="282" t="s">
        <v>641</v>
      </c>
      <c r="B65" s="741"/>
      <c r="C65" s="742"/>
      <c r="D65" s="742"/>
      <c r="E65" s="742"/>
      <c r="F65" s="742"/>
      <c r="G65" s="743"/>
      <c r="H65" s="285">
        <f>SUBTOTAL(9,H45:H64)</f>
        <v>33731.55780000001</v>
      </c>
    </row>
    <row r="66" spans="1:8" hidden="1" outlineLevel="2" x14ac:dyDescent="0.25">
      <c r="A66" s="44" t="s">
        <v>123</v>
      </c>
      <c r="B66" s="274">
        <v>44470</v>
      </c>
      <c r="C66" s="44" t="s">
        <v>1034</v>
      </c>
      <c r="D66" s="275">
        <v>60000274229</v>
      </c>
      <c r="E66" s="44" t="s">
        <v>718</v>
      </c>
      <c r="F66" s="44" t="s">
        <v>717</v>
      </c>
      <c r="G66" s="44"/>
      <c r="H66" s="276">
        <v>2607.2800000000002</v>
      </c>
    </row>
    <row r="67" spans="1:8" hidden="1" outlineLevel="2" x14ac:dyDescent="0.25">
      <c r="A67" s="44" t="s">
        <v>123</v>
      </c>
      <c r="B67" s="274">
        <v>44470</v>
      </c>
      <c r="C67" s="44" t="s">
        <v>1034</v>
      </c>
      <c r="D67" s="275">
        <v>60000285996</v>
      </c>
      <c r="E67" s="44" t="s">
        <v>718</v>
      </c>
      <c r="F67" s="44" t="s">
        <v>717</v>
      </c>
      <c r="G67" s="44"/>
      <c r="H67" s="276">
        <v>1441.85</v>
      </c>
    </row>
    <row r="68" spans="1:8" hidden="1" outlineLevel="2" x14ac:dyDescent="0.25">
      <c r="A68" s="44" t="s">
        <v>123</v>
      </c>
      <c r="B68" s="274">
        <v>44470</v>
      </c>
      <c r="C68" s="44" t="s">
        <v>1034</v>
      </c>
      <c r="D68" s="275">
        <v>65100019280</v>
      </c>
      <c r="E68" s="44" t="s">
        <v>720</v>
      </c>
      <c r="F68" s="44" t="s">
        <v>721</v>
      </c>
      <c r="G68" s="44"/>
      <c r="H68" s="276">
        <v>1922</v>
      </c>
    </row>
    <row r="69" spans="1:8" hidden="1" outlineLevel="2" x14ac:dyDescent="0.25">
      <c r="A69" s="44" t="s">
        <v>123</v>
      </c>
      <c r="B69" s="274">
        <v>44470</v>
      </c>
      <c r="C69" s="44" t="s">
        <v>1034</v>
      </c>
      <c r="D69" s="275">
        <v>65100019280</v>
      </c>
      <c r="E69" s="44" t="s">
        <v>720</v>
      </c>
      <c r="F69" s="44" t="s">
        <v>722</v>
      </c>
      <c r="G69" s="44"/>
      <c r="H69" s="276">
        <v>272</v>
      </c>
    </row>
    <row r="70" spans="1:8" hidden="1" outlineLevel="2" x14ac:dyDescent="0.25">
      <c r="A70" s="44" t="s">
        <v>123</v>
      </c>
      <c r="B70" s="274">
        <v>44491</v>
      </c>
      <c r="C70" s="44" t="s">
        <v>1034</v>
      </c>
      <c r="D70" s="275">
        <v>10400754323</v>
      </c>
      <c r="E70" s="44" t="s">
        <v>716</v>
      </c>
      <c r="F70" s="44" t="s">
        <v>717</v>
      </c>
      <c r="G70" s="44"/>
      <c r="H70" s="276">
        <v>5169.42</v>
      </c>
    </row>
    <row r="71" spans="1:8" hidden="1" outlineLevel="2" x14ac:dyDescent="0.25">
      <c r="A71" s="44" t="s">
        <v>123</v>
      </c>
      <c r="B71" s="274">
        <v>44495</v>
      </c>
      <c r="C71" s="44" t="s">
        <v>1034</v>
      </c>
      <c r="D71" s="275">
        <v>500003105</v>
      </c>
      <c r="E71" s="44" t="s">
        <v>724</v>
      </c>
      <c r="F71" s="44" t="s">
        <v>725</v>
      </c>
      <c r="G71" s="44"/>
      <c r="H71" s="276">
        <v>898.98</v>
      </c>
    </row>
    <row r="72" spans="1:8" hidden="1" outlineLevel="2" x14ac:dyDescent="0.25">
      <c r="A72" s="44" t="s">
        <v>123</v>
      </c>
      <c r="B72" s="274">
        <v>44496</v>
      </c>
      <c r="C72" s="44" t="s">
        <v>1034</v>
      </c>
      <c r="D72" s="275">
        <v>65100019922</v>
      </c>
      <c r="E72" s="44" t="s">
        <v>720</v>
      </c>
      <c r="F72" s="44" t="s">
        <v>726</v>
      </c>
      <c r="G72" s="44"/>
      <c r="H72" s="276">
        <v>1922</v>
      </c>
    </row>
    <row r="73" spans="1:8" hidden="1" outlineLevel="2" x14ac:dyDescent="0.25">
      <c r="A73" s="44" t="s">
        <v>123</v>
      </c>
      <c r="B73" s="274">
        <v>44496</v>
      </c>
      <c r="C73" s="44" t="s">
        <v>1034</v>
      </c>
      <c r="D73" s="275">
        <v>65100019922</v>
      </c>
      <c r="E73" s="44" t="s">
        <v>720</v>
      </c>
      <c r="F73" s="44" t="s">
        <v>727</v>
      </c>
      <c r="G73" s="44"/>
      <c r="H73" s="276">
        <v>272</v>
      </c>
    </row>
    <row r="74" spans="1:8" hidden="1" outlineLevel="2" x14ac:dyDescent="0.25">
      <c r="A74" s="44" t="s">
        <v>123</v>
      </c>
      <c r="B74" s="274">
        <v>44498</v>
      </c>
      <c r="C74" s="44" t="s">
        <v>1032</v>
      </c>
      <c r="D74" s="275">
        <v>6633</v>
      </c>
      <c r="E74" s="44" t="s">
        <v>846</v>
      </c>
      <c r="F74" s="44" t="s">
        <v>855</v>
      </c>
      <c r="G74" s="44" t="s">
        <v>856</v>
      </c>
      <c r="H74" s="276">
        <v>5044.22</v>
      </c>
    </row>
    <row r="75" spans="1:8" hidden="1" outlineLevel="2" x14ac:dyDescent="0.25">
      <c r="A75" s="44" t="s">
        <v>123</v>
      </c>
      <c r="B75" s="274">
        <v>44498</v>
      </c>
      <c r="C75" s="44" t="s">
        <v>1032</v>
      </c>
      <c r="D75" s="275">
        <v>6633</v>
      </c>
      <c r="E75" s="44" t="s">
        <v>846</v>
      </c>
      <c r="F75" s="44" t="s">
        <v>847</v>
      </c>
      <c r="G75" s="44" t="s">
        <v>848</v>
      </c>
      <c r="H75" s="276">
        <v>1570.84</v>
      </c>
    </row>
    <row r="76" spans="1:8" hidden="1" outlineLevel="2" x14ac:dyDescent="0.25">
      <c r="A76" s="44" t="s">
        <v>123</v>
      </c>
      <c r="B76" s="274">
        <v>44498</v>
      </c>
      <c r="C76" s="44" t="s">
        <v>1032</v>
      </c>
      <c r="D76" s="275">
        <v>6633</v>
      </c>
      <c r="E76" s="44" t="s">
        <v>846</v>
      </c>
      <c r="F76" s="44" t="s">
        <v>851</v>
      </c>
      <c r="G76" s="44" t="s">
        <v>852</v>
      </c>
      <c r="H76" s="276">
        <v>1108.24</v>
      </c>
    </row>
    <row r="77" spans="1:8" ht="30" hidden="1" outlineLevel="2" x14ac:dyDescent="0.25">
      <c r="A77" s="44" t="s">
        <v>123</v>
      </c>
      <c r="B77" s="274">
        <v>44498</v>
      </c>
      <c r="C77" s="44" t="s">
        <v>1032</v>
      </c>
      <c r="D77" s="275">
        <v>6633</v>
      </c>
      <c r="E77" s="44" t="s">
        <v>846</v>
      </c>
      <c r="F77" s="44" t="s">
        <v>857</v>
      </c>
      <c r="G77" s="44" t="s">
        <v>858</v>
      </c>
      <c r="H77" s="276">
        <v>1852.83</v>
      </c>
    </row>
    <row r="78" spans="1:8" hidden="1" outlineLevel="2" x14ac:dyDescent="0.25">
      <c r="A78" s="44" t="s">
        <v>123</v>
      </c>
      <c r="B78" s="274">
        <v>44498</v>
      </c>
      <c r="C78" s="44" t="s">
        <v>1032</v>
      </c>
      <c r="D78" s="275">
        <v>6633</v>
      </c>
      <c r="E78" s="44" t="s">
        <v>846</v>
      </c>
      <c r="F78" s="44" t="s">
        <v>859</v>
      </c>
      <c r="G78" s="44" t="s">
        <v>860</v>
      </c>
      <c r="H78" s="276">
        <v>1665.8</v>
      </c>
    </row>
    <row r="79" spans="1:8" hidden="1" outlineLevel="2" x14ac:dyDescent="0.25">
      <c r="A79" s="44" t="s">
        <v>123</v>
      </c>
      <c r="B79" s="274">
        <v>44498</v>
      </c>
      <c r="C79" s="44" t="s">
        <v>1032</v>
      </c>
      <c r="D79" s="275">
        <v>6633</v>
      </c>
      <c r="E79" s="44" t="s">
        <v>846</v>
      </c>
      <c r="F79" s="44" t="s">
        <v>853</v>
      </c>
      <c r="G79" s="44" t="s">
        <v>854</v>
      </c>
      <c r="H79" s="276">
        <v>3819.51</v>
      </c>
    </row>
    <row r="80" spans="1:8" hidden="1" outlineLevel="2" x14ac:dyDescent="0.25">
      <c r="A80" s="44" t="s">
        <v>123</v>
      </c>
      <c r="B80" s="274">
        <v>44483</v>
      </c>
      <c r="C80" s="44" t="s">
        <v>1036</v>
      </c>
      <c r="D80" s="275">
        <v>100004952</v>
      </c>
      <c r="E80" s="44" t="s">
        <v>716</v>
      </c>
      <c r="F80" s="44" t="s">
        <v>717</v>
      </c>
      <c r="G80" s="44" t="s">
        <v>926</v>
      </c>
      <c r="H80" s="269">
        <v>1619.83465</v>
      </c>
    </row>
    <row r="81" spans="1:8" ht="30" hidden="1" outlineLevel="2" x14ac:dyDescent="0.25">
      <c r="A81" s="44" t="s">
        <v>123</v>
      </c>
      <c r="B81" s="274">
        <v>44483</v>
      </c>
      <c r="C81" s="44" t="s">
        <v>1036</v>
      </c>
      <c r="D81" s="275">
        <v>100004952</v>
      </c>
      <c r="E81" s="44" t="s">
        <v>915</v>
      </c>
      <c r="F81" s="44" t="s">
        <v>717</v>
      </c>
      <c r="G81" s="44" t="s">
        <v>926</v>
      </c>
      <c r="H81" s="269">
        <v>5705.7851499999997</v>
      </c>
    </row>
    <row r="82" spans="1:8" hidden="1" outlineLevel="2" x14ac:dyDescent="0.25">
      <c r="A82" s="44" t="s">
        <v>123</v>
      </c>
      <c r="B82" s="274">
        <v>44490</v>
      </c>
      <c r="C82" s="44" t="s">
        <v>1036</v>
      </c>
      <c r="D82" s="275">
        <v>100004964</v>
      </c>
      <c r="E82" s="44" t="s">
        <v>716</v>
      </c>
      <c r="F82" s="44" t="s">
        <v>717</v>
      </c>
      <c r="G82" s="44" t="s">
        <v>926</v>
      </c>
      <c r="H82" s="269">
        <v>462.80989999999997</v>
      </c>
    </row>
    <row r="83" spans="1:8" ht="30" hidden="1" outlineLevel="2" x14ac:dyDescent="0.25">
      <c r="A83" s="44" t="s">
        <v>123</v>
      </c>
      <c r="B83" s="274">
        <v>44490</v>
      </c>
      <c r="C83" s="44" t="s">
        <v>1036</v>
      </c>
      <c r="D83" s="275">
        <v>100004964</v>
      </c>
      <c r="E83" s="44" t="s">
        <v>915</v>
      </c>
      <c r="F83" s="44" t="s">
        <v>717</v>
      </c>
      <c r="G83" s="44" t="s">
        <v>926</v>
      </c>
      <c r="H83" s="269">
        <v>1426.4455</v>
      </c>
    </row>
    <row r="84" spans="1:8" hidden="1" outlineLevel="2" x14ac:dyDescent="0.25">
      <c r="A84" s="44" t="s">
        <v>123</v>
      </c>
      <c r="B84" s="274">
        <v>44490</v>
      </c>
      <c r="C84" s="44" t="s">
        <v>1036</v>
      </c>
      <c r="D84" s="275">
        <v>100004968</v>
      </c>
      <c r="E84" s="44" t="s">
        <v>927</v>
      </c>
      <c r="F84" s="44" t="s">
        <v>928</v>
      </c>
      <c r="G84" s="44" t="s">
        <v>918</v>
      </c>
      <c r="H84" s="269">
        <v>3733</v>
      </c>
    </row>
    <row r="85" spans="1:8" hidden="1" outlineLevel="2" x14ac:dyDescent="0.25">
      <c r="A85" s="44" t="s">
        <v>123</v>
      </c>
      <c r="B85" s="274">
        <v>44498</v>
      </c>
      <c r="C85" s="44" t="s">
        <v>1036</v>
      </c>
      <c r="D85" s="275">
        <v>100004990</v>
      </c>
      <c r="E85" s="44" t="s">
        <v>716</v>
      </c>
      <c r="F85" s="44" t="s">
        <v>717</v>
      </c>
      <c r="G85" s="44" t="s">
        <v>926</v>
      </c>
      <c r="H85" s="269">
        <v>231.40494999999999</v>
      </c>
    </row>
    <row r="86" spans="1:8" ht="30" hidden="1" outlineLevel="2" x14ac:dyDescent="0.25">
      <c r="A86" s="44" t="s">
        <v>123</v>
      </c>
      <c r="B86" s="274">
        <v>44498</v>
      </c>
      <c r="C86" s="44" t="s">
        <v>1036</v>
      </c>
      <c r="D86" s="275">
        <v>100004990</v>
      </c>
      <c r="E86" s="44" t="s">
        <v>915</v>
      </c>
      <c r="F86" s="44" t="s">
        <v>717</v>
      </c>
      <c r="G86" s="44" t="s">
        <v>926</v>
      </c>
      <c r="H86" s="269">
        <v>713.22379999999998</v>
      </c>
    </row>
    <row r="87" spans="1:8" outlineLevel="1" collapsed="1" x14ac:dyDescent="0.25">
      <c r="A87" s="282" t="s">
        <v>642</v>
      </c>
      <c r="B87" s="741"/>
      <c r="C87" s="742"/>
      <c r="D87" s="742"/>
      <c r="E87" s="742"/>
      <c r="F87" s="742"/>
      <c r="G87" s="743"/>
      <c r="H87" s="285">
        <f>SUBTOTAL(9,H66:H86)</f>
        <v>43459.47395</v>
      </c>
    </row>
    <row r="88" spans="1:8" hidden="1" outlineLevel="2" x14ac:dyDescent="0.25">
      <c r="A88" s="44" t="s">
        <v>141</v>
      </c>
      <c r="B88" s="274">
        <v>44470</v>
      </c>
      <c r="C88" s="44" t="s">
        <v>1034</v>
      </c>
      <c r="D88" s="275">
        <v>10400560760</v>
      </c>
      <c r="E88" s="44" t="s">
        <v>716</v>
      </c>
      <c r="F88" s="44" t="s">
        <v>717</v>
      </c>
      <c r="G88" s="44"/>
      <c r="H88" s="276">
        <v>2823.14</v>
      </c>
    </row>
    <row r="89" spans="1:8" hidden="1" outlineLevel="2" x14ac:dyDescent="0.25">
      <c r="A89" s="44" t="s">
        <v>141</v>
      </c>
      <c r="B89" s="274">
        <v>44470</v>
      </c>
      <c r="C89" s="44" t="s">
        <v>1034</v>
      </c>
      <c r="D89" s="275">
        <v>10400572393</v>
      </c>
      <c r="E89" s="44" t="s">
        <v>716</v>
      </c>
      <c r="F89" s="44" t="s">
        <v>717</v>
      </c>
      <c r="G89" s="44"/>
      <c r="H89" s="276">
        <v>1909.09</v>
      </c>
    </row>
    <row r="90" spans="1:8" hidden="1" outlineLevel="2" x14ac:dyDescent="0.25">
      <c r="A90" s="44" t="s">
        <v>141</v>
      </c>
      <c r="B90" s="274">
        <v>44470</v>
      </c>
      <c r="C90" s="44" t="s">
        <v>1034</v>
      </c>
      <c r="D90" s="275">
        <v>65100019280</v>
      </c>
      <c r="E90" s="44" t="s">
        <v>720</v>
      </c>
      <c r="F90" s="44" t="s">
        <v>721</v>
      </c>
      <c r="G90" s="44"/>
      <c r="H90" s="276">
        <v>1922</v>
      </c>
    </row>
    <row r="91" spans="1:8" hidden="1" outlineLevel="2" x14ac:dyDescent="0.25">
      <c r="A91" s="44" t="s">
        <v>141</v>
      </c>
      <c r="B91" s="274">
        <v>44470</v>
      </c>
      <c r="C91" s="44" t="s">
        <v>1034</v>
      </c>
      <c r="D91" s="275">
        <v>65100019280</v>
      </c>
      <c r="E91" s="44" t="s">
        <v>720</v>
      </c>
      <c r="F91" s="44" t="s">
        <v>722</v>
      </c>
      <c r="G91" s="44"/>
      <c r="H91" s="276">
        <v>272</v>
      </c>
    </row>
    <row r="92" spans="1:8" ht="30" hidden="1" outlineLevel="2" x14ac:dyDescent="0.25">
      <c r="A92" s="44" t="s">
        <v>141</v>
      </c>
      <c r="B92" s="274">
        <v>44473</v>
      </c>
      <c r="C92" s="44" t="s">
        <v>1034</v>
      </c>
      <c r="D92" s="275">
        <v>6100301594</v>
      </c>
      <c r="E92" s="44" t="s">
        <v>730</v>
      </c>
      <c r="F92" s="44" t="s">
        <v>717</v>
      </c>
      <c r="G92" s="44"/>
      <c r="H92" s="276">
        <v>2744</v>
      </c>
    </row>
    <row r="93" spans="1:8" ht="30" hidden="1" outlineLevel="2" x14ac:dyDescent="0.25">
      <c r="A93" s="44" t="s">
        <v>141</v>
      </c>
      <c r="B93" s="274">
        <v>44480</v>
      </c>
      <c r="C93" s="44" t="s">
        <v>1034</v>
      </c>
      <c r="D93" s="275">
        <v>200000131</v>
      </c>
      <c r="E93" s="44" t="s">
        <v>736</v>
      </c>
      <c r="F93" s="44" t="s">
        <v>737</v>
      </c>
      <c r="G93" s="44"/>
      <c r="H93" s="276">
        <v>9700</v>
      </c>
    </row>
    <row r="94" spans="1:8" hidden="1" outlineLevel="2" x14ac:dyDescent="0.25">
      <c r="A94" s="44" t="s">
        <v>141</v>
      </c>
      <c r="B94" s="274">
        <v>44484</v>
      </c>
      <c r="C94" s="44" t="s">
        <v>1034</v>
      </c>
      <c r="D94" s="275">
        <v>600011030</v>
      </c>
      <c r="E94" s="44" t="s">
        <v>731</v>
      </c>
      <c r="F94" s="44" t="s">
        <v>732</v>
      </c>
      <c r="G94" s="44"/>
      <c r="H94" s="276">
        <v>6000</v>
      </c>
    </row>
    <row r="95" spans="1:8" hidden="1" outlineLevel="2" x14ac:dyDescent="0.25">
      <c r="A95" s="44" t="s">
        <v>141</v>
      </c>
      <c r="B95" s="274">
        <v>44491</v>
      </c>
      <c r="C95" s="44" t="s">
        <v>1034</v>
      </c>
      <c r="D95" s="275">
        <v>10400676781</v>
      </c>
      <c r="E95" s="44" t="s">
        <v>716</v>
      </c>
      <c r="F95" s="44" t="s">
        <v>717</v>
      </c>
      <c r="G95" s="44"/>
      <c r="H95" s="276">
        <v>954.55</v>
      </c>
    </row>
    <row r="96" spans="1:8" hidden="1" outlineLevel="2" x14ac:dyDescent="0.25">
      <c r="A96" s="44" t="s">
        <v>141</v>
      </c>
      <c r="B96" s="274">
        <v>44491</v>
      </c>
      <c r="C96" s="44" t="s">
        <v>1034</v>
      </c>
      <c r="D96" s="275">
        <v>10400754323</v>
      </c>
      <c r="E96" s="44" t="s">
        <v>716</v>
      </c>
      <c r="F96" s="44" t="s">
        <v>717</v>
      </c>
      <c r="G96" s="44"/>
      <c r="H96" s="276">
        <v>3757.85</v>
      </c>
    </row>
    <row r="97" spans="1:8" hidden="1" outlineLevel="2" x14ac:dyDescent="0.25">
      <c r="A97" s="44" t="s">
        <v>141</v>
      </c>
      <c r="B97" s="274">
        <v>44495</v>
      </c>
      <c r="C97" s="44" t="s">
        <v>1034</v>
      </c>
      <c r="D97" s="275">
        <v>500003105</v>
      </c>
      <c r="E97" s="44" t="s">
        <v>724</v>
      </c>
      <c r="F97" s="44" t="s">
        <v>725</v>
      </c>
      <c r="G97" s="44"/>
      <c r="H97" s="276">
        <v>898.98</v>
      </c>
    </row>
    <row r="98" spans="1:8" hidden="1" outlineLevel="2" x14ac:dyDescent="0.25">
      <c r="A98" s="44" t="s">
        <v>141</v>
      </c>
      <c r="B98" s="274">
        <v>44496</v>
      </c>
      <c r="C98" s="44" t="s">
        <v>1034</v>
      </c>
      <c r="D98" s="275">
        <v>65100019922</v>
      </c>
      <c r="E98" s="44" t="s">
        <v>720</v>
      </c>
      <c r="F98" s="44" t="s">
        <v>726</v>
      </c>
      <c r="G98" s="44"/>
      <c r="H98" s="276">
        <v>1922</v>
      </c>
    </row>
    <row r="99" spans="1:8" hidden="1" outlineLevel="2" x14ac:dyDescent="0.25">
      <c r="A99" s="44" t="s">
        <v>141</v>
      </c>
      <c r="B99" s="274">
        <v>44496</v>
      </c>
      <c r="C99" s="44" t="s">
        <v>1034</v>
      </c>
      <c r="D99" s="275">
        <v>65100019922</v>
      </c>
      <c r="E99" s="44" t="s">
        <v>720</v>
      </c>
      <c r="F99" s="44" t="s">
        <v>727</v>
      </c>
      <c r="G99" s="44"/>
      <c r="H99" s="276">
        <v>272</v>
      </c>
    </row>
    <row r="100" spans="1:8" hidden="1" outlineLevel="2" x14ac:dyDescent="0.25">
      <c r="A100" s="44" t="s">
        <v>141</v>
      </c>
      <c r="B100" s="274">
        <v>44496</v>
      </c>
      <c r="C100" s="44" t="s">
        <v>1032</v>
      </c>
      <c r="D100" s="275">
        <v>6632</v>
      </c>
      <c r="E100" s="44" t="s">
        <v>846</v>
      </c>
      <c r="F100" s="44" t="s">
        <v>855</v>
      </c>
      <c r="G100" s="44" t="s">
        <v>856</v>
      </c>
      <c r="H100" s="276">
        <v>5044.22</v>
      </c>
    </row>
    <row r="101" spans="1:8" hidden="1" outlineLevel="2" x14ac:dyDescent="0.25">
      <c r="A101" s="44" t="s">
        <v>141</v>
      </c>
      <c r="B101" s="274">
        <v>44496</v>
      </c>
      <c r="C101" s="44" t="s">
        <v>1032</v>
      </c>
      <c r="D101" s="275">
        <v>6632</v>
      </c>
      <c r="E101" s="44" t="s">
        <v>846</v>
      </c>
      <c r="F101" s="44" t="s">
        <v>847</v>
      </c>
      <c r="G101" s="44" t="s">
        <v>848</v>
      </c>
      <c r="H101" s="276">
        <v>1570.84</v>
      </c>
    </row>
    <row r="102" spans="1:8" hidden="1" outlineLevel="2" x14ac:dyDescent="0.25">
      <c r="A102" s="44" t="s">
        <v>141</v>
      </c>
      <c r="B102" s="274">
        <v>44496</v>
      </c>
      <c r="C102" s="44" t="s">
        <v>1032</v>
      </c>
      <c r="D102" s="275">
        <v>6632</v>
      </c>
      <c r="E102" s="44" t="s">
        <v>846</v>
      </c>
      <c r="F102" s="44" t="s">
        <v>851</v>
      </c>
      <c r="G102" s="44" t="s">
        <v>852</v>
      </c>
      <c r="H102" s="276">
        <v>1108.24</v>
      </c>
    </row>
    <row r="103" spans="1:8" hidden="1" outlineLevel="2" x14ac:dyDescent="0.25">
      <c r="A103" s="44" t="s">
        <v>141</v>
      </c>
      <c r="B103" s="274">
        <v>44496</v>
      </c>
      <c r="C103" s="44" t="s">
        <v>1032</v>
      </c>
      <c r="D103" s="275">
        <v>6632</v>
      </c>
      <c r="E103" s="44" t="s">
        <v>846</v>
      </c>
      <c r="F103" s="44" t="s">
        <v>213</v>
      </c>
      <c r="G103" s="44" t="s">
        <v>864</v>
      </c>
      <c r="H103" s="276">
        <v>84.02</v>
      </c>
    </row>
    <row r="104" spans="1:8" ht="30" hidden="1" outlineLevel="2" x14ac:dyDescent="0.25">
      <c r="A104" s="44" t="s">
        <v>141</v>
      </c>
      <c r="B104" s="274">
        <v>44496</v>
      </c>
      <c r="C104" s="44" t="s">
        <v>1032</v>
      </c>
      <c r="D104" s="275">
        <v>6632</v>
      </c>
      <c r="E104" s="44" t="s">
        <v>846</v>
      </c>
      <c r="F104" s="44" t="s">
        <v>857</v>
      </c>
      <c r="G104" s="44" t="s">
        <v>858</v>
      </c>
      <c r="H104" s="276">
        <v>1852.83</v>
      </c>
    </row>
    <row r="105" spans="1:8" hidden="1" outlineLevel="2" x14ac:dyDescent="0.25">
      <c r="A105" s="44" t="s">
        <v>141</v>
      </c>
      <c r="B105" s="274">
        <v>44496</v>
      </c>
      <c r="C105" s="44" t="s">
        <v>1032</v>
      </c>
      <c r="D105" s="275">
        <v>6632</v>
      </c>
      <c r="E105" s="44" t="s">
        <v>846</v>
      </c>
      <c r="F105" s="44" t="s">
        <v>859</v>
      </c>
      <c r="G105" s="44" t="s">
        <v>860</v>
      </c>
      <c r="H105" s="276">
        <v>1665.8</v>
      </c>
    </row>
    <row r="106" spans="1:8" hidden="1" outlineLevel="2" x14ac:dyDescent="0.25">
      <c r="A106" s="44" t="s">
        <v>141</v>
      </c>
      <c r="B106" s="274">
        <v>44496</v>
      </c>
      <c r="C106" s="44" t="s">
        <v>1032</v>
      </c>
      <c r="D106" s="275">
        <v>6632</v>
      </c>
      <c r="E106" s="44" t="s">
        <v>846</v>
      </c>
      <c r="F106" s="44" t="s">
        <v>853</v>
      </c>
      <c r="G106" s="44" t="s">
        <v>854</v>
      </c>
      <c r="H106" s="276">
        <v>3819.51</v>
      </c>
    </row>
    <row r="107" spans="1:8" hidden="1" outlineLevel="2" x14ac:dyDescent="0.25">
      <c r="A107" s="44" t="s">
        <v>141</v>
      </c>
      <c r="B107" s="274">
        <v>44483</v>
      </c>
      <c r="C107" s="44" t="s">
        <v>1036</v>
      </c>
      <c r="D107" s="275">
        <v>100004946</v>
      </c>
      <c r="E107" s="44" t="s">
        <v>929</v>
      </c>
      <c r="F107" s="44" t="s">
        <v>923</v>
      </c>
      <c r="G107" s="44" t="s">
        <v>930</v>
      </c>
      <c r="H107" s="269">
        <v>160</v>
      </c>
    </row>
    <row r="108" spans="1:8" hidden="1" outlineLevel="2" x14ac:dyDescent="0.25">
      <c r="A108" s="44" t="s">
        <v>141</v>
      </c>
      <c r="B108" s="274">
        <v>44483</v>
      </c>
      <c r="C108" s="44" t="s">
        <v>1036</v>
      </c>
      <c r="D108" s="275">
        <v>100004946</v>
      </c>
      <c r="E108" s="44" t="s">
        <v>716</v>
      </c>
      <c r="F108" s="44" t="s">
        <v>717</v>
      </c>
      <c r="G108" s="44" t="s">
        <v>930</v>
      </c>
      <c r="H108" s="269">
        <v>1107.4376</v>
      </c>
    </row>
    <row r="109" spans="1:8" ht="30" hidden="1" outlineLevel="2" x14ac:dyDescent="0.25">
      <c r="A109" s="44" t="s">
        <v>141</v>
      </c>
      <c r="B109" s="274">
        <v>44483</v>
      </c>
      <c r="C109" s="44" t="s">
        <v>1036</v>
      </c>
      <c r="D109" s="275">
        <v>100004946</v>
      </c>
      <c r="E109" s="44" t="s">
        <v>915</v>
      </c>
      <c r="F109" s="44" t="s">
        <v>717</v>
      </c>
      <c r="G109" s="44" t="s">
        <v>930</v>
      </c>
      <c r="H109" s="269">
        <v>3566.1158500000001</v>
      </c>
    </row>
    <row r="110" spans="1:8" hidden="1" outlineLevel="2" x14ac:dyDescent="0.25">
      <c r="A110" s="44" t="s">
        <v>141</v>
      </c>
      <c r="B110" s="274">
        <v>44498</v>
      </c>
      <c r="C110" s="44" t="s">
        <v>1036</v>
      </c>
      <c r="D110" s="275">
        <v>100004986</v>
      </c>
      <c r="E110" s="44" t="s">
        <v>716</v>
      </c>
      <c r="F110" s="44" t="s">
        <v>717</v>
      </c>
      <c r="G110" s="44" t="s">
        <v>930</v>
      </c>
      <c r="H110" s="269">
        <v>1553.7188000000001</v>
      </c>
    </row>
    <row r="111" spans="1:8" ht="30" hidden="1" outlineLevel="2" x14ac:dyDescent="0.25">
      <c r="A111" s="44" t="s">
        <v>141</v>
      </c>
      <c r="B111" s="274">
        <v>44498</v>
      </c>
      <c r="C111" s="44" t="s">
        <v>1036</v>
      </c>
      <c r="D111" s="275">
        <v>100004986</v>
      </c>
      <c r="E111" s="44" t="s">
        <v>915</v>
      </c>
      <c r="F111" s="44" t="s">
        <v>717</v>
      </c>
      <c r="G111" s="44" t="s">
        <v>930</v>
      </c>
      <c r="H111" s="269">
        <v>1426.4455</v>
      </c>
    </row>
    <row r="112" spans="1:8" outlineLevel="1" collapsed="1" x14ac:dyDescent="0.25">
      <c r="A112" s="282" t="s">
        <v>643</v>
      </c>
      <c r="B112" s="741"/>
      <c r="C112" s="742"/>
      <c r="D112" s="742"/>
      <c r="E112" s="742"/>
      <c r="F112" s="742"/>
      <c r="G112" s="743"/>
      <c r="H112" s="285">
        <f>SUBTOTAL(9,H88:H111)</f>
        <v>56134.787750000003</v>
      </c>
    </row>
    <row r="113" spans="1:8" hidden="1" outlineLevel="2" x14ac:dyDescent="0.25">
      <c r="A113" s="44" t="s">
        <v>146</v>
      </c>
      <c r="B113" s="274">
        <v>44470</v>
      </c>
      <c r="C113" s="44" t="s">
        <v>1034</v>
      </c>
      <c r="D113" s="275">
        <v>500033638</v>
      </c>
      <c r="E113" s="44" t="s">
        <v>713</v>
      </c>
      <c r="F113" s="44" t="s">
        <v>714</v>
      </c>
      <c r="G113" s="44"/>
      <c r="H113" s="276">
        <v>1791.53</v>
      </c>
    </row>
    <row r="114" spans="1:8" hidden="1" outlineLevel="2" x14ac:dyDescent="0.25">
      <c r="A114" s="44" t="s">
        <v>146</v>
      </c>
      <c r="B114" s="274">
        <v>44470</v>
      </c>
      <c r="C114" s="44" t="s">
        <v>1034</v>
      </c>
      <c r="D114" s="275">
        <v>10400572393</v>
      </c>
      <c r="E114" s="44" t="s">
        <v>716</v>
      </c>
      <c r="F114" s="44" t="s">
        <v>717</v>
      </c>
      <c r="G114" s="44"/>
      <c r="H114" s="276">
        <v>345.45</v>
      </c>
    </row>
    <row r="115" spans="1:8" hidden="1" outlineLevel="2" x14ac:dyDescent="0.25">
      <c r="A115" s="44" t="s">
        <v>146</v>
      </c>
      <c r="B115" s="274">
        <v>44470</v>
      </c>
      <c r="C115" s="44" t="s">
        <v>1034</v>
      </c>
      <c r="D115" s="275">
        <v>10400578195</v>
      </c>
      <c r="E115" s="44" t="s">
        <v>716</v>
      </c>
      <c r="F115" s="44" t="s">
        <v>717</v>
      </c>
      <c r="G115" s="44"/>
      <c r="H115" s="276">
        <v>2480.17</v>
      </c>
    </row>
    <row r="116" spans="1:8" hidden="1" outlineLevel="2" x14ac:dyDescent="0.25">
      <c r="A116" s="44" t="s">
        <v>146</v>
      </c>
      <c r="B116" s="274">
        <v>44470</v>
      </c>
      <c r="C116" s="44" t="s">
        <v>1034</v>
      </c>
      <c r="D116" s="275">
        <v>60000274229</v>
      </c>
      <c r="E116" s="44" t="s">
        <v>718</v>
      </c>
      <c r="F116" s="44" t="s">
        <v>717</v>
      </c>
      <c r="G116" s="44"/>
      <c r="H116" s="276">
        <v>525.14</v>
      </c>
    </row>
    <row r="117" spans="1:8" hidden="1" outlineLevel="2" x14ac:dyDescent="0.25">
      <c r="A117" s="44" t="s">
        <v>146</v>
      </c>
      <c r="B117" s="274">
        <v>44470</v>
      </c>
      <c r="C117" s="44" t="s">
        <v>1034</v>
      </c>
      <c r="D117" s="275">
        <v>60000285996</v>
      </c>
      <c r="E117" s="44" t="s">
        <v>718</v>
      </c>
      <c r="F117" s="44" t="s">
        <v>717</v>
      </c>
      <c r="G117" s="44"/>
      <c r="H117" s="276">
        <v>1882.28</v>
      </c>
    </row>
    <row r="118" spans="1:8" hidden="1" outlineLevel="2" x14ac:dyDescent="0.25">
      <c r="A118" s="44" t="s">
        <v>146</v>
      </c>
      <c r="B118" s="274">
        <v>44474</v>
      </c>
      <c r="C118" s="44" t="s">
        <v>1034</v>
      </c>
      <c r="D118" s="275">
        <v>200000058</v>
      </c>
      <c r="E118" s="44" t="s">
        <v>733</v>
      </c>
      <c r="F118" s="44" t="s">
        <v>738</v>
      </c>
      <c r="G118" s="44"/>
      <c r="H118" s="276">
        <v>5000</v>
      </c>
    </row>
    <row r="119" spans="1:8" hidden="1" outlineLevel="2" x14ac:dyDescent="0.25">
      <c r="A119" s="44" t="s">
        <v>146</v>
      </c>
      <c r="B119" s="274">
        <v>44491</v>
      </c>
      <c r="C119" s="44" t="s">
        <v>1034</v>
      </c>
      <c r="D119" s="275">
        <v>10400676781</v>
      </c>
      <c r="E119" s="44" t="s">
        <v>716</v>
      </c>
      <c r="F119" s="44" t="s">
        <v>717</v>
      </c>
      <c r="G119" s="44"/>
      <c r="H119" s="276">
        <v>500</v>
      </c>
    </row>
    <row r="120" spans="1:8" hidden="1" outlineLevel="2" x14ac:dyDescent="0.25">
      <c r="A120" s="44" t="s">
        <v>146</v>
      </c>
      <c r="B120" s="274">
        <v>44491</v>
      </c>
      <c r="C120" s="44" t="s">
        <v>1034</v>
      </c>
      <c r="D120" s="275">
        <v>10400701977</v>
      </c>
      <c r="E120" s="44" t="s">
        <v>716</v>
      </c>
      <c r="F120" s="44" t="s">
        <v>717</v>
      </c>
      <c r="G120" s="44"/>
      <c r="H120" s="276">
        <v>3649.59</v>
      </c>
    </row>
    <row r="121" spans="1:8" hidden="1" outlineLevel="2" x14ac:dyDescent="0.25">
      <c r="A121" s="44" t="s">
        <v>146</v>
      </c>
      <c r="B121" s="274">
        <v>44500</v>
      </c>
      <c r="C121" s="44" t="s">
        <v>1034</v>
      </c>
      <c r="D121" s="275">
        <v>60000298248</v>
      </c>
      <c r="E121" s="44" t="s">
        <v>718</v>
      </c>
      <c r="F121" s="44" t="s">
        <v>717</v>
      </c>
      <c r="G121" s="44"/>
      <c r="H121" s="276">
        <v>3199.56</v>
      </c>
    </row>
    <row r="122" spans="1:8" hidden="1" outlineLevel="2" x14ac:dyDescent="0.25">
      <c r="A122" s="44" t="s">
        <v>146</v>
      </c>
      <c r="B122" s="274">
        <v>44491</v>
      </c>
      <c r="C122" s="44" t="s">
        <v>1035</v>
      </c>
      <c r="D122" s="275">
        <v>2800005426</v>
      </c>
      <c r="E122" s="44" t="s">
        <v>810</v>
      </c>
      <c r="F122" s="44" t="s">
        <v>835</v>
      </c>
      <c r="G122" s="44"/>
      <c r="H122" s="276">
        <v>-1498.86</v>
      </c>
    </row>
    <row r="123" spans="1:8" hidden="1" outlineLevel="2" x14ac:dyDescent="0.25">
      <c r="A123" s="44" t="s">
        <v>146</v>
      </c>
      <c r="B123" s="274">
        <v>44481</v>
      </c>
      <c r="C123" s="44" t="s">
        <v>1032</v>
      </c>
      <c r="D123" s="275">
        <v>6555</v>
      </c>
      <c r="E123" s="44" t="s">
        <v>846</v>
      </c>
      <c r="F123" s="44" t="s">
        <v>865</v>
      </c>
      <c r="G123" s="44" t="s">
        <v>848</v>
      </c>
      <c r="H123" s="276">
        <v>1574.77</v>
      </c>
    </row>
    <row r="124" spans="1:8" hidden="1" outlineLevel="2" x14ac:dyDescent="0.25">
      <c r="A124" s="44" t="s">
        <v>146</v>
      </c>
      <c r="B124" s="274">
        <v>44481</v>
      </c>
      <c r="C124" s="44" t="s">
        <v>1032</v>
      </c>
      <c r="D124" s="275">
        <v>6555</v>
      </c>
      <c r="E124" s="44" t="s">
        <v>846</v>
      </c>
      <c r="F124" s="44" t="s">
        <v>849</v>
      </c>
      <c r="G124" s="44" t="s">
        <v>850</v>
      </c>
      <c r="H124" s="276">
        <v>1653.76</v>
      </c>
    </row>
    <row r="125" spans="1:8" hidden="1" outlineLevel="2" x14ac:dyDescent="0.25">
      <c r="A125" s="44" t="s">
        <v>146</v>
      </c>
      <c r="B125" s="274">
        <v>44481</v>
      </c>
      <c r="C125" s="44" t="s">
        <v>1032</v>
      </c>
      <c r="D125" s="275">
        <v>6555</v>
      </c>
      <c r="E125" s="44" t="s">
        <v>846</v>
      </c>
      <c r="F125" s="44" t="s">
        <v>851</v>
      </c>
      <c r="G125" s="44" t="s">
        <v>852</v>
      </c>
      <c r="H125" s="276">
        <v>1111</v>
      </c>
    </row>
    <row r="126" spans="1:8" hidden="1" outlineLevel="2" x14ac:dyDescent="0.25">
      <c r="A126" s="44" t="s">
        <v>146</v>
      </c>
      <c r="B126" s="274">
        <v>44481</v>
      </c>
      <c r="C126" s="44" t="s">
        <v>1032</v>
      </c>
      <c r="D126" s="275">
        <v>6555</v>
      </c>
      <c r="E126" s="44" t="s">
        <v>846</v>
      </c>
      <c r="F126" s="44" t="s">
        <v>213</v>
      </c>
      <c r="G126" s="44" t="s">
        <v>864</v>
      </c>
      <c r="H126" s="276">
        <v>72.98</v>
      </c>
    </row>
    <row r="127" spans="1:8" hidden="1" outlineLevel="2" x14ac:dyDescent="0.25">
      <c r="A127" s="44" t="s">
        <v>146</v>
      </c>
      <c r="B127" s="274">
        <v>44481</v>
      </c>
      <c r="C127" s="44" t="s">
        <v>1032</v>
      </c>
      <c r="D127" s="275">
        <v>6555</v>
      </c>
      <c r="E127" s="44" t="s">
        <v>846</v>
      </c>
      <c r="F127" s="44" t="s">
        <v>866</v>
      </c>
      <c r="G127" s="44" t="s">
        <v>854</v>
      </c>
      <c r="H127" s="276">
        <v>6450.21</v>
      </c>
    </row>
    <row r="128" spans="1:8" hidden="1" outlineLevel="2" x14ac:dyDescent="0.25">
      <c r="A128" s="44" t="s">
        <v>146</v>
      </c>
      <c r="B128" s="274">
        <v>44481</v>
      </c>
      <c r="C128" s="44" t="s">
        <v>1036</v>
      </c>
      <c r="D128" s="275">
        <v>100004939</v>
      </c>
      <c r="E128" s="44" t="s">
        <v>931</v>
      </c>
      <c r="F128" s="44" t="s">
        <v>717</v>
      </c>
      <c r="G128" s="44" t="s">
        <v>932</v>
      </c>
      <c r="H128" s="269">
        <v>1371.9010000000001</v>
      </c>
    </row>
    <row r="129" spans="1:8" outlineLevel="1" collapsed="1" x14ac:dyDescent="0.25">
      <c r="A129" s="282" t="s">
        <v>644</v>
      </c>
      <c r="B129" s="741"/>
      <c r="C129" s="742"/>
      <c r="D129" s="742"/>
      <c r="E129" s="742"/>
      <c r="F129" s="742"/>
      <c r="G129" s="743"/>
      <c r="H129" s="285">
        <f>SUBTOTAL(9,H113:H128)</f>
        <v>30109.481</v>
      </c>
    </row>
    <row r="130" spans="1:8" hidden="1" outlineLevel="2" x14ac:dyDescent="0.25">
      <c r="A130" s="44" t="s">
        <v>150</v>
      </c>
      <c r="B130" s="274">
        <v>44470</v>
      </c>
      <c r="C130" s="44" t="s">
        <v>1034</v>
      </c>
      <c r="D130" s="275">
        <v>500033638</v>
      </c>
      <c r="E130" s="44" t="s">
        <v>713</v>
      </c>
      <c r="F130" s="44" t="s">
        <v>714</v>
      </c>
      <c r="G130" s="44"/>
      <c r="H130" s="276">
        <v>1791.53</v>
      </c>
    </row>
    <row r="131" spans="1:8" hidden="1" outlineLevel="2" x14ac:dyDescent="0.25">
      <c r="A131" s="44" t="s">
        <v>150</v>
      </c>
      <c r="B131" s="274">
        <v>44470</v>
      </c>
      <c r="C131" s="44" t="s">
        <v>1034</v>
      </c>
      <c r="D131" s="275">
        <v>10400520948</v>
      </c>
      <c r="E131" s="44" t="s">
        <v>716</v>
      </c>
      <c r="F131" s="44" t="s">
        <v>717</v>
      </c>
      <c r="G131" s="44"/>
      <c r="H131" s="276">
        <v>326.45</v>
      </c>
    </row>
    <row r="132" spans="1:8" hidden="1" outlineLevel="2" x14ac:dyDescent="0.25">
      <c r="A132" s="44" t="s">
        <v>150</v>
      </c>
      <c r="B132" s="274">
        <v>44470</v>
      </c>
      <c r="C132" s="44" t="s">
        <v>1034</v>
      </c>
      <c r="D132" s="275">
        <v>10400578195</v>
      </c>
      <c r="E132" s="44" t="s">
        <v>716</v>
      </c>
      <c r="F132" s="44" t="s">
        <v>717</v>
      </c>
      <c r="G132" s="44"/>
      <c r="H132" s="276">
        <v>4684.3</v>
      </c>
    </row>
    <row r="133" spans="1:8" hidden="1" outlineLevel="2" x14ac:dyDescent="0.25">
      <c r="A133" s="44" t="s">
        <v>150</v>
      </c>
      <c r="B133" s="274">
        <v>44470</v>
      </c>
      <c r="C133" s="44" t="s">
        <v>1034</v>
      </c>
      <c r="D133" s="275">
        <v>60000274229</v>
      </c>
      <c r="E133" s="44" t="s">
        <v>718</v>
      </c>
      <c r="F133" s="44" t="s">
        <v>717</v>
      </c>
      <c r="G133" s="44"/>
      <c r="H133" s="276">
        <v>2691.81</v>
      </c>
    </row>
    <row r="134" spans="1:8" hidden="1" outlineLevel="2" x14ac:dyDescent="0.25">
      <c r="A134" s="44" t="s">
        <v>150</v>
      </c>
      <c r="B134" s="274">
        <v>44470</v>
      </c>
      <c r="C134" s="44" t="s">
        <v>1034</v>
      </c>
      <c r="D134" s="275">
        <v>60000285996</v>
      </c>
      <c r="E134" s="44" t="s">
        <v>718</v>
      </c>
      <c r="F134" s="44" t="s">
        <v>717</v>
      </c>
      <c r="G134" s="44"/>
      <c r="H134" s="276">
        <v>2333.41</v>
      </c>
    </row>
    <row r="135" spans="1:8" hidden="1" outlineLevel="2" x14ac:dyDescent="0.25">
      <c r="A135" s="44" t="s">
        <v>150</v>
      </c>
      <c r="B135" s="274">
        <v>44470</v>
      </c>
      <c r="C135" s="44" t="s">
        <v>1034</v>
      </c>
      <c r="D135" s="275">
        <v>71102115521</v>
      </c>
      <c r="E135" s="44" t="s">
        <v>739</v>
      </c>
      <c r="F135" s="44" t="s">
        <v>717</v>
      </c>
      <c r="G135" s="44"/>
      <c r="H135" s="276">
        <v>441.79</v>
      </c>
    </row>
    <row r="136" spans="1:8" hidden="1" outlineLevel="2" x14ac:dyDescent="0.25">
      <c r="A136" s="44" t="s">
        <v>150</v>
      </c>
      <c r="B136" s="274">
        <v>44470</v>
      </c>
      <c r="C136" s="44" t="s">
        <v>1034</v>
      </c>
      <c r="D136" s="275">
        <v>501300168825</v>
      </c>
      <c r="E136" s="44" t="s">
        <v>723</v>
      </c>
      <c r="F136" s="44" t="s">
        <v>717</v>
      </c>
      <c r="G136" s="44"/>
      <c r="H136" s="276">
        <v>142.26</v>
      </c>
    </row>
    <row r="137" spans="1:8" hidden="1" outlineLevel="2" x14ac:dyDescent="0.25">
      <c r="A137" s="44" t="s">
        <v>150</v>
      </c>
      <c r="B137" s="274">
        <v>44473</v>
      </c>
      <c r="C137" s="44" t="s">
        <v>1034</v>
      </c>
      <c r="D137" s="275">
        <v>501300176437</v>
      </c>
      <c r="E137" s="44" t="s">
        <v>723</v>
      </c>
      <c r="F137" s="44" t="s">
        <v>717</v>
      </c>
      <c r="G137" s="44"/>
      <c r="H137" s="276">
        <v>126.52</v>
      </c>
    </row>
    <row r="138" spans="1:8" ht="30" hidden="1" outlineLevel="2" x14ac:dyDescent="0.25">
      <c r="A138" s="44" t="s">
        <v>150</v>
      </c>
      <c r="B138" s="274">
        <v>44482</v>
      </c>
      <c r="C138" s="44" t="s">
        <v>1034</v>
      </c>
      <c r="D138" s="275">
        <v>5002331085</v>
      </c>
      <c r="E138" s="44" t="s">
        <v>740</v>
      </c>
      <c r="F138" s="44" t="s">
        <v>717</v>
      </c>
      <c r="G138" s="44"/>
      <c r="H138" s="276">
        <v>301.64999999999998</v>
      </c>
    </row>
    <row r="139" spans="1:8" hidden="1" outlineLevel="2" x14ac:dyDescent="0.25">
      <c r="A139" s="44" t="s">
        <v>150</v>
      </c>
      <c r="B139" s="274">
        <v>44489</v>
      </c>
      <c r="C139" s="44" t="s">
        <v>1034</v>
      </c>
      <c r="D139" s="275">
        <v>50300370602</v>
      </c>
      <c r="E139" s="44" t="s">
        <v>741</v>
      </c>
      <c r="F139" s="44" t="s">
        <v>717</v>
      </c>
      <c r="G139" s="44"/>
      <c r="H139" s="276">
        <v>989.09</v>
      </c>
    </row>
    <row r="140" spans="1:8" hidden="1" outlineLevel="2" x14ac:dyDescent="0.25">
      <c r="A140" s="44" t="s">
        <v>150</v>
      </c>
      <c r="B140" s="274">
        <v>44491</v>
      </c>
      <c r="C140" s="44" t="s">
        <v>1034</v>
      </c>
      <c r="D140" s="275">
        <v>10400676781</v>
      </c>
      <c r="E140" s="44" t="s">
        <v>716</v>
      </c>
      <c r="F140" s="44" t="s">
        <v>717</v>
      </c>
      <c r="G140" s="44"/>
      <c r="H140" s="276">
        <v>615.70000000000005</v>
      </c>
    </row>
    <row r="141" spans="1:8" hidden="1" outlineLevel="2" x14ac:dyDescent="0.25">
      <c r="A141" s="44" t="s">
        <v>150</v>
      </c>
      <c r="B141" s="274">
        <v>44491</v>
      </c>
      <c r="C141" s="44" t="s">
        <v>1034</v>
      </c>
      <c r="D141" s="275">
        <v>10400701977</v>
      </c>
      <c r="E141" s="44" t="s">
        <v>716</v>
      </c>
      <c r="F141" s="44" t="s">
        <v>717</v>
      </c>
      <c r="G141" s="44"/>
      <c r="H141" s="276">
        <v>3649.59</v>
      </c>
    </row>
    <row r="142" spans="1:8" hidden="1" outlineLevel="2" x14ac:dyDescent="0.25">
      <c r="A142" s="44" t="s">
        <v>150</v>
      </c>
      <c r="B142" s="274">
        <v>44496</v>
      </c>
      <c r="C142" s="44" t="s">
        <v>1034</v>
      </c>
      <c r="D142" s="275">
        <v>300000103</v>
      </c>
      <c r="E142" s="44" t="s">
        <v>728</v>
      </c>
      <c r="F142" s="44" t="s">
        <v>742</v>
      </c>
      <c r="G142" s="44"/>
      <c r="H142" s="276">
        <v>271.89999999999998</v>
      </c>
    </row>
    <row r="143" spans="1:8" hidden="1" outlineLevel="2" x14ac:dyDescent="0.25">
      <c r="A143" s="44" t="s">
        <v>150</v>
      </c>
      <c r="B143" s="274">
        <v>44496</v>
      </c>
      <c r="C143" s="44" t="s">
        <v>1034</v>
      </c>
      <c r="D143" s="275">
        <v>300000103</v>
      </c>
      <c r="E143" s="44" t="s">
        <v>728</v>
      </c>
      <c r="F143" s="44" t="s">
        <v>743</v>
      </c>
      <c r="G143" s="44"/>
      <c r="H143" s="276">
        <v>1823.64</v>
      </c>
    </row>
    <row r="144" spans="1:8" hidden="1" outlineLevel="2" x14ac:dyDescent="0.25">
      <c r="A144" s="44" t="s">
        <v>150</v>
      </c>
      <c r="B144" s="274">
        <v>44496</v>
      </c>
      <c r="C144" s="44" t="s">
        <v>1034</v>
      </c>
      <c r="D144" s="275">
        <v>300000103</v>
      </c>
      <c r="E144" s="44" t="s">
        <v>728</v>
      </c>
      <c r="F144" s="44" t="s">
        <v>744</v>
      </c>
      <c r="G144" s="44"/>
      <c r="H144" s="276">
        <v>255.37</v>
      </c>
    </row>
    <row r="145" spans="1:8" hidden="1" outlineLevel="2" x14ac:dyDescent="0.25">
      <c r="A145" s="44" t="s">
        <v>150</v>
      </c>
      <c r="B145" s="274">
        <v>44496</v>
      </c>
      <c r="C145" s="44" t="s">
        <v>1034</v>
      </c>
      <c r="D145" s="275">
        <v>300000103</v>
      </c>
      <c r="E145" s="44" t="s">
        <v>728</v>
      </c>
      <c r="F145" s="44" t="s">
        <v>745</v>
      </c>
      <c r="G145" s="44"/>
      <c r="H145" s="276">
        <v>2495.04</v>
      </c>
    </row>
    <row r="146" spans="1:8" hidden="1" outlineLevel="2" x14ac:dyDescent="0.25">
      <c r="A146" s="44" t="s">
        <v>150</v>
      </c>
      <c r="B146" s="274">
        <v>44500</v>
      </c>
      <c r="C146" s="44" t="s">
        <v>1034</v>
      </c>
      <c r="D146" s="275">
        <v>60000298248</v>
      </c>
      <c r="E146" s="44" t="s">
        <v>718</v>
      </c>
      <c r="F146" s="44" t="s">
        <v>717</v>
      </c>
      <c r="G146" s="44"/>
      <c r="H146" s="276">
        <v>1761.05</v>
      </c>
    </row>
    <row r="147" spans="1:8" hidden="1" outlineLevel="2" x14ac:dyDescent="0.25">
      <c r="A147" s="44" t="s">
        <v>150</v>
      </c>
      <c r="B147" s="274">
        <v>44491</v>
      </c>
      <c r="C147" s="44" t="s">
        <v>1035</v>
      </c>
      <c r="D147" s="275">
        <v>2800005426</v>
      </c>
      <c r="E147" s="44" t="s">
        <v>810</v>
      </c>
      <c r="F147" s="44" t="s">
        <v>835</v>
      </c>
      <c r="G147" s="44"/>
      <c r="H147" s="276">
        <v>-415.06</v>
      </c>
    </row>
    <row r="148" spans="1:8" ht="30" hidden="1" outlineLevel="2" x14ac:dyDescent="0.25">
      <c r="A148" s="44" t="s">
        <v>150</v>
      </c>
      <c r="B148" s="274">
        <v>44475</v>
      </c>
      <c r="C148" s="44" t="s">
        <v>1032</v>
      </c>
      <c r="D148" s="275">
        <v>6546</v>
      </c>
      <c r="E148" s="44" t="s">
        <v>846</v>
      </c>
      <c r="F148" s="44" t="s">
        <v>857</v>
      </c>
      <c r="G148" s="44" t="s">
        <v>858</v>
      </c>
      <c r="H148" s="276">
        <v>1347.18</v>
      </c>
    </row>
    <row r="149" spans="1:8" hidden="1" outlineLevel="2" x14ac:dyDescent="0.25">
      <c r="A149" s="44" t="s">
        <v>150</v>
      </c>
      <c r="B149" s="274">
        <v>44495</v>
      </c>
      <c r="C149" s="44" t="s">
        <v>1036</v>
      </c>
      <c r="D149" s="275">
        <v>100004980</v>
      </c>
      <c r="E149" s="44" t="s">
        <v>933</v>
      </c>
      <c r="F149" s="44" t="s">
        <v>934</v>
      </c>
      <c r="G149" s="44" t="s">
        <v>935</v>
      </c>
      <c r="H149" s="269">
        <v>1074.3802000000001</v>
      </c>
    </row>
    <row r="150" spans="1:8" outlineLevel="1" collapsed="1" x14ac:dyDescent="0.25">
      <c r="A150" s="282" t="s">
        <v>645</v>
      </c>
      <c r="B150" s="741"/>
      <c r="C150" s="742"/>
      <c r="D150" s="742"/>
      <c r="E150" s="742"/>
      <c r="F150" s="742"/>
      <c r="G150" s="743"/>
      <c r="H150" s="285">
        <f>SUBTOTAL(9,H130:H149)</f>
        <v>26707.600200000001</v>
      </c>
    </row>
    <row r="151" spans="1:8" hidden="1" outlineLevel="2" x14ac:dyDescent="0.25">
      <c r="A151" s="44" t="s">
        <v>174</v>
      </c>
      <c r="B151" s="274">
        <v>44470</v>
      </c>
      <c r="C151" s="44" t="s">
        <v>1034</v>
      </c>
      <c r="D151" s="275">
        <v>500033638</v>
      </c>
      <c r="E151" s="44" t="s">
        <v>713</v>
      </c>
      <c r="F151" s="44" t="s">
        <v>714</v>
      </c>
      <c r="G151" s="44"/>
      <c r="H151" s="276">
        <v>1791.53</v>
      </c>
    </row>
    <row r="152" spans="1:8" hidden="1" outlineLevel="2" x14ac:dyDescent="0.25">
      <c r="A152" s="44" t="s">
        <v>174</v>
      </c>
      <c r="B152" s="274">
        <v>44470</v>
      </c>
      <c r="C152" s="44" t="s">
        <v>1034</v>
      </c>
      <c r="D152" s="275">
        <v>10400572393</v>
      </c>
      <c r="E152" s="44" t="s">
        <v>716</v>
      </c>
      <c r="F152" s="44" t="s">
        <v>717</v>
      </c>
      <c r="G152" s="44"/>
      <c r="H152" s="276">
        <v>876.03</v>
      </c>
    </row>
    <row r="153" spans="1:8" hidden="1" outlineLevel="2" x14ac:dyDescent="0.25">
      <c r="A153" s="44" t="s">
        <v>174</v>
      </c>
      <c r="B153" s="274">
        <v>44470</v>
      </c>
      <c r="C153" s="44" t="s">
        <v>1034</v>
      </c>
      <c r="D153" s="275">
        <v>10400578195</v>
      </c>
      <c r="E153" s="44" t="s">
        <v>716</v>
      </c>
      <c r="F153" s="44" t="s">
        <v>717</v>
      </c>
      <c r="G153" s="44"/>
      <c r="H153" s="276">
        <v>1645.45</v>
      </c>
    </row>
    <row r="154" spans="1:8" hidden="1" outlineLevel="2" x14ac:dyDescent="0.25">
      <c r="A154" s="44" t="s">
        <v>174</v>
      </c>
      <c r="B154" s="274">
        <v>44470</v>
      </c>
      <c r="C154" s="44" t="s">
        <v>1034</v>
      </c>
      <c r="D154" s="275">
        <v>60000274229</v>
      </c>
      <c r="E154" s="44" t="s">
        <v>718</v>
      </c>
      <c r="F154" s="44" t="s">
        <v>717</v>
      </c>
      <c r="G154" s="44"/>
      <c r="H154" s="276">
        <v>3415.28</v>
      </c>
    </row>
    <row r="155" spans="1:8" hidden="1" outlineLevel="2" x14ac:dyDescent="0.25">
      <c r="A155" s="44" t="s">
        <v>174</v>
      </c>
      <c r="B155" s="274">
        <v>44470</v>
      </c>
      <c r="C155" s="44" t="s">
        <v>1034</v>
      </c>
      <c r="D155" s="275">
        <v>60000285996</v>
      </c>
      <c r="E155" s="44" t="s">
        <v>718</v>
      </c>
      <c r="F155" s="44" t="s">
        <v>717</v>
      </c>
      <c r="G155" s="44"/>
      <c r="H155" s="276">
        <v>10897</v>
      </c>
    </row>
    <row r="156" spans="1:8" hidden="1" outlineLevel="2" x14ac:dyDescent="0.25">
      <c r="A156" s="44" t="s">
        <v>174</v>
      </c>
      <c r="B156" s="274">
        <v>44500</v>
      </c>
      <c r="C156" s="44" t="s">
        <v>1034</v>
      </c>
      <c r="D156" s="275">
        <v>60000298248</v>
      </c>
      <c r="E156" s="44" t="s">
        <v>718</v>
      </c>
      <c r="F156" s="44" t="s">
        <v>717</v>
      </c>
      <c r="G156" s="44"/>
      <c r="H156" s="276">
        <v>10177.64</v>
      </c>
    </row>
    <row r="157" spans="1:8" hidden="1" outlineLevel="2" x14ac:dyDescent="0.25">
      <c r="A157" s="44" t="s">
        <v>174</v>
      </c>
      <c r="B157" s="274">
        <v>44475</v>
      </c>
      <c r="C157" s="44" t="s">
        <v>1032</v>
      </c>
      <c r="D157" s="275">
        <v>6547</v>
      </c>
      <c r="E157" s="44" t="s">
        <v>846</v>
      </c>
      <c r="F157" s="44" t="s">
        <v>875</v>
      </c>
      <c r="G157" s="44" t="s">
        <v>876</v>
      </c>
      <c r="H157" s="276">
        <v>212.4</v>
      </c>
    </row>
    <row r="158" spans="1:8" hidden="1" outlineLevel="2" x14ac:dyDescent="0.25">
      <c r="A158" s="44" t="s">
        <v>174</v>
      </c>
      <c r="B158" s="274">
        <v>44489</v>
      </c>
      <c r="C158" s="44" t="s">
        <v>1036</v>
      </c>
      <c r="D158" s="275">
        <v>100004960</v>
      </c>
      <c r="E158" s="44" t="s">
        <v>716</v>
      </c>
      <c r="F158" s="44" t="s">
        <v>717</v>
      </c>
      <c r="G158" s="44" t="s">
        <v>942</v>
      </c>
      <c r="H158" s="269">
        <v>578.51247999999998</v>
      </c>
    </row>
    <row r="159" spans="1:8" ht="30" hidden="1" outlineLevel="2" x14ac:dyDescent="0.25">
      <c r="A159" s="44" t="s">
        <v>174</v>
      </c>
      <c r="B159" s="274">
        <v>44489</v>
      </c>
      <c r="C159" s="44" t="s">
        <v>1036</v>
      </c>
      <c r="D159" s="275">
        <v>100004960</v>
      </c>
      <c r="E159" s="44" t="s">
        <v>915</v>
      </c>
      <c r="F159" s="44" t="s">
        <v>717</v>
      </c>
      <c r="G159" s="44" t="s">
        <v>942</v>
      </c>
      <c r="H159" s="269">
        <v>396.69421799999998</v>
      </c>
    </row>
    <row r="160" spans="1:8" ht="30" hidden="1" outlineLevel="2" x14ac:dyDescent="0.25">
      <c r="A160" s="44" t="s">
        <v>174</v>
      </c>
      <c r="B160" s="274">
        <v>44489</v>
      </c>
      <c r="C160" s="44" t="s">
        <v>1036</v>
      </c>
      <c r="D160" s="275">
        <v>100004960</v>
      </c>
      <c r="E160" s="44" t="s">
        <v>943</v>
      </c>
      <c r="F160" s="44" t="s">
        <v>717</v>
      </c>
      <c r="G160" s="44" t="s">
        <v>942</v>
      </c>
      <c r="H160" s="269">
        <v>661.15702999999996</v>
      </c>
    </row>
    <row r="161" spans="1:8" outlineLevel="1" collapsed="1" x14ac:dyDescent="0.25">
      <c r="A161" s="282" t="s">
        <v>646</v>
      </c>
      <c r="B161" s="741"/>
      <c r="C161" s="742"/>
      <c r="D161" s="742"/>
      <c r="E161" s="742"/>
      <c r="F161" s="742"/>
      <c r="G161" s="743"/>
      <c r="H161" s="285">
        <f>SUBTOTAL(9,H151:H160)</f>
        <v>30651.693728000002</v>
      </c>
    </row>
    <row r="162" spans="1:8" hidden="1" outlineLevel="2" x14ac:dyDescent="0.25">
      <c r="A162" s="44" t="s">
        <v>199</v>
      </c>
      <c r="B162" s="274">
        <v>44470</v>
      </c>
      <c r="C162" s="44" t="s">
        <v>1034</v>
      </c>
      <c r="D162" s="275">
        <v>500033638</v>
      </c>
      <c r="E162" s="44" t="s">
        <v>713</v>
      </c>
      <c r="F162" s="44" t="s">
        <v>714</v>
      </c>
      <c r="G162" s="44"/>
      <c r="H162" s="276">
        <v>1791.53</v>
      </c>
    </row>
    <row r="163" spans="1:8" hidden="1" outlineLevel="2" x14ac:dyDescent="0.25">
      <c r="A163" s="44" t="s">
        <v>199</v>
      </c>
      <c r="B163" s="274">
        <v>44470</v>
      </c>
      <c r="C163" s="44" t="s">
        <v>1034</v>
      </c>
      <c r="D163" s="275">
        <v>10400572393</v>
      </c>
      <c r="E163" s="44" t="s">
        <v>716</v>
      </c>
      <c r="F163" s="44" t="s">
        <v>717</v>
      </c>
      <c r="G163" s="44"/>
      <c r="H163" s="276">
        <v>1152.8900000000001</v>
      </c>
    </row>
    <row r="164" spans="1:8" hidden="1" outlineLevel="2" x14ac:dyDescent="0.25">
      <c r="A164" s="44" t="s">
        <v>199</v>
      </c>
      <c r="B164" s="274">
        <v>44470</v>
      </c>
      <c r="C164" s="44" t="s">
        <v>1034</v>
      </c>
      <c r="D164" s="275">
        <v>10400578195</v>
      </c>
      <c r="E164" s="44" t="s">
        <v>716</v>
      </c>
      <c r="F164" s="44" t="s">
        <v>717</v>
      </c>
      <c r="G164" s="44"/>
      <c r="H164" s="276">
        <v>471.07</v>
      </c>
    </row>
    <row r="165" spans="1:8" hidden="1" outlineLevel="2" x14ac:dyDescent="0.25">
      <c r="A165" s="44" t="s">
        <v>199</v>
      </c>
      <c r="B165" s="274">
        <v>44470</v>
      </c>
      <c r="C165" s="44" t="s">
        <v>1034</v>
      </c>
      <c r="D165" s="275">
        <v>60000274229</v>
      </c>
      <c r="E165" s="44" t="s">
        <v>718</v>
      </c>
      <c r="F165" s="44" t="s">
        <v>717</v>
      </c>
      <c r="G165" s="44"/>
      <c r="H165" s="276">
        <v>2625.69</v>
      </c>
    </row>
    <row r="166" spans="1:8" hidden="1" outlineLevel="2" x14ac:dyDescent="0.25">
      <c r="A166" s="44" t="s">
        <v>199</v>
      </c>
      <c r="B166" s="274">
        <v>44470</v>
      </c>
      <c r="C166" s="44" t="s">
        <v>1034</v>
      </c>
      <c r="D166" s="275">
        <v>60000285996</v>
      </c>
      <c r="E166" s="44" t="s">
        <v>718</v>
      </c>
      <c r="F166" s="44" t="s">
        <v>717</v>
      </c>
      <c r="G166" s="44"/>
      <c r="H166" s="276">
        <v>2399.5300000000002</v>
      </c>
    </row>
    <row r="167" spans="1:8" hidden="1" outlineLevel="2" x14ac:dyDescent="0.25">
      <c r="A167" s="44" t="s">
        <v>199</v>
      </c>
      <c r="B167" s="274">
        <v>44496</v>
      </c>
      <c r="C167" s="44" t="s">
        <v>1034</v>
      </c>
      <c r="D167" s="275">
        <v>200025670</v>
      </c>
      <c r="E167" s="44" t="s">
        <v>748</v>
      </c>
      <c r="F167" s="44" t="s">
        <v>779</v>
      </c>
      <c r="G167" s="44"/>
      <c r="H167" s="276">
        <v>258.85000000000002</v>
      </c>
    </row>
    <row r="168" spans="1:8" hidden="1" outlineLevel="2" x14ac:dyDescent="0.25">
      <c r="A168" s="44" t="s">
        <v>199</v>
      </c>
      <c r="B168" s="274">
        <v>44500</v>
      </c>
      <c r="C168" s="44" t="s">
        <v>1034</v>
      </c>
      <c r="D168" s="275">
        <v>60000298248</v>
      </c>
      <c r="E168" s="44" t="s">
        <v>718</v>
      </c>
      <c r="F168" s="44" t="s">
        <v>717</v>
      </c>
      <c r="G168" s="44"/>
      <c r="H168" s="276">
        <v>587.02</v>
      </c>
    </row>
    <row r="169" spans="1:8" hidden="1" outlineLevel="2" x14ac:dyDescent="0.25">
      <c r="A169" s="44" t="s">
        <v>199</v>
      </c>
      <c r="B169" s="274">
        <v>44487</v>
      </c>
      <c r="C169" s="44" t="s">
        <v>1032</v>
      </c>
      <c r="D169" s="275">
        <v>6591</v>
      </c>
      <c r="E169" s="44" t="s">
        <v>846</v>
      </c>
      <c r="F169" s="44" t="s">
        <v>890</v>
      </c>
      <c r="G169" s="44" t="s">
        <v>891</v>
      </c>
      <c r="H169" s="276">
        <v>918.38</v>
      </c>
    </row>
    <row r="170" spans="1:8" hidden="1" outlineLevel="2" x14ac:dyDescent="0.25">
      <c r="A170" s="44" t="s">
        <v>199</v>
      </c>
      <c r="B170" s="274">
        <v>44494</v>
      </c>
      <c r="C170" s="44" t="s">
        <v>1036</v>
      </c>
      <c r="D170" s="275">
        <v>100004973</v>
      </c>
      <c r="E170" s="44" t="s">
        <v>949</v>
      </c>
      <c r="F170" s="44" t="s">
        <v>950</v>
      </c>
      <c r="G170" s="44" t="s">
        <v>951</v>
      </c>
      <c r="H170" s="269">
        <v>2000</v>
      </c>
    </row>
    <row r="171" spans="1:8" ht="30" hidden="1" outlineLevel="2" x14ac:dyDescent="0.25">
      <c r="A171" s="44" t="s">
        <v>199</v>
      </c>
      <c r="B171" s="274">
        <v>44494</v>
      </c>
      <c r="C171" s="44" t="s">
        <v>1036</v>
      </c>
      <c r="D171" s="275">
        <v>100004973</v>
      </c>
      <c r="E171" s="44" t="s">
        <v>952</v>
      </c>
      <c r="F171" s="44" t="s">
        <v>953</v>
      </c>
      <c r="G171" s="44" t="s">
        <v>951</v>
      </c>
      <c r="H171" s="269">
        <v>1200</v>
      </c>
    </row>
    <row r="172" spans="1:8" ht="30" hidden="1" outlineLevel="2" x14ac:dyDescent="0.25">
      <c r="A172" s="44" t="s">
        <v>199</v>
      </c>
      <c r="B172" s="274">
        <v>44494</v>
      </c>
      <c r="C172" s="44" t="s">
        <v>1036</v>
      </c>
      <c r="D172" s="275">
        <v>100004973</v>
      </c>
      <c r="E172" s="44" t="s">
        <v>954</v>
      </c>
      <c r="F172" s="44" t="s">
        <v>953</v>
      </c>
      <c r="G172" s="44" t="s">
        <v>951</v>
      </c>
      <c r="H172" s="269">
        <v>520</v>
      </c>
    </row>
    <row r="173" spans="1:8" hidden="1" outlineLevel="2" x14ac:dyDescent="0.25">
      <c r="A173" s="44" t="s">
        <v>199</v>
      </c>
      <c r="B173" s="274">
        <v>44494</v>
      </c>
      <c r="C173" s="44" t="s">
        <v>1036</v>
      </c>
      <c r="D173" s="275">
        <v>100004973</v>
      </c>
      <c r="E173" s="44" t="s">
        <v>955</v>
      </c>
      <c r="F173" s="44" t="s">
        <v>956</v>
      </c>
      <c r="G173" s="44" t="s">
        <v>951</v>
      </c>
      <c r="H173" s="269">
        <v>4000</v>
      </c>
    </row>
    <row r="174" spans="1:8" ht="30" hidden="1" outlineLevel="2" x14ac:dyDescent="0.25">
      <c r="A174" s="44" t="s">
        <v>199</v>
      </c>
      <c r="B174" s="274">
        <v>44494</v>
      </c>
      <c r="C174" s="44" t="s">
        <v>1036</v>
      </c>
      <c r="D174" s="275">
        <v>100004973</v>
      </c>
      <c r="E174" s="44" t="s">
        <v>957</v>
      </c>
      <c r="F174" s="44" t="s">
        <v>958</v>
      </c>
      <c r="G174" s="44" t="s">
        <v>951</v>
      </c>
      <c r="H174" s="269">
        <v>200</v>
      </c>
    </row>
    <row r="175" spans="1:8" hidden="1" outlineLevel="2" x14ac:dyDescent="0.25">
      <c r="A175" s="44" t="s">
        <v>199</v>
      </c>
      <c r="B175" s="274">
        <v>44494</v>
      </c>
      <c r="C175" s="44" t="s">
        <v>1036</v>
      </c>
      <c r="D175" s="275">
        <v>100004973</v>
      </c>
      <c r="E175" s="44" t="s">
        <v>959</v>
      </c>
      <c r="F175" s="44" t="s">
        <v>950</v>
      </c>
      <c r="G175" s="44" t="s">
        <v>951</v>
      </c>
      <c r="H175" s="269">
        <v>1100</v>
      </c>
    </row>
    <row r="176" spans="1:8" hidden="1" outlineLevel="2" x14ac:dyDescent="0.25">
      <c r="A176" s="44" t="s">
        <v>199</v>
      </c>
      <c r="B176" s="274">
        <v>44494</v>
      </c>
      <c r="C176" s="44" t="s">
        <v>1036</v>
      </c>
      <c r="D176" s="275">
        <v>100004973</v>
      </c>
      <c r="E176" s="44" t="s">
        <v>960</v>
      </c>
      <c r="F176" s="44" t="s">
        <v>961</v>
      </c>
      <c r="G176" s="44" t="s">
        <v>951</v>
      </c>
      <c r="H176" s="269">
        <v>1000</v>
      </c>
    </row>
    <row r="177" spans="1:8" hidden="1" outlineLevel="2" x14ac:dyDescent="0.25">
      <c r="A177" s="44" t="s">
        <v>199</v>
      </c>
      <c r="B177" s="274">
        <v>44494</v>
      </c>
      <c r="C177" s="44" t="s">
        <v>1036</v>
      </c>
      <c r="D177" s="275">
        <v>100004973</v>
      </c>
      <c r="E177" s="44" t="s">
        <v>962</v>
      </c>
      <c r="F177" s="44" t="s">
        <v>717</v>
      </c>
      <c r="G177" s="44" t="s">
        <v>951</v>
      </c>
      <c r="H177" s="269">
        <v>100</v>
      </c>
    </row>
    <row r="178" spans="1:8" hidden="1" outlineLevel="2" x14ac:dyDescent="0.25">
      <c r="A178" s="44" t="s">
        <v>199</v>
      </c>
      <c r="B178" s="274">
        <v>44494</v>
      </c>
      <c r="C178" s="44" t="s">
        <v>1036</v>
      </c>
      <c r="D178" s="275">
        <v>100004974</v>
      </c>
      <c r="E178" s="44" t="s">
        <v>963</v>
      </c>
      <c r="F178" s="44" t="s">
        <v>964</v>
      </c>
      <c r="G178" s="44" t="s">
        <v>965</v>
      </c>
      <c r="H178" s="269">
        <v>4500</v>
      </c>
    </row>
    <row r="179" spans="1:8" hidden="1" outlineLevel="2" x14ac:dyDescent="0.25">
      <c r="A179" s="44" t="s">
        <v>199</v>
      </c>
      <c r="B179" s="274">
        <v>44494</v>
      </c>
      <c r="C179" s="44" t="s">
        <v>1036</v>
      </c>
      <c r="D179" s="275">
        <v>100004974</v>
      </c>
      <c r="E179" s="44" t="s">
        <v>966</v>
      </c>
      <c r="F179" s="44" t="s">
        <v>958</v>
      </c>
      <c r="G179" s="44" t="s">
        <v>965</v>
      </c>
      <c r="H179" s="269">
        <v>3000</v>
      </c>
    </row>
    <row r="180" spans="1:8" hidden="1" outlineLevel="2" x14ac:dyDescent="0.25">
      <c r="A180" s="44" t="s">
        <v>199</v>
      </c>
      <c r="B180" s="274">
        <v>44494</v>
      </c>
      <c r="C180" s="44" t="s">
        <v>1036</v>
      </c>
      <c r="D180" s="275">
        <v>100004974</v>
      </c>
      <c r="E180" s="44" t="s">
        <v>967</v>
      </c>
      <c r="F180" s="44" t="s">
        <v>968</v>
      </c>
      <c r="G180" s="44" t="s">
        <v>965</v>
      </c>
      <c r="H180" s="269">
        <v>1000</v>
      </c>
    </row>
    <row r="181" spans="1:8" hidden="1" outlineLevel="2" x14ac:dyDescent="0.25">
      <c r="A181" s="44" t="s">
        <v>199</v>
      </c>
      <c r="B181" s="274">
        <v>44494</v>
      </c>
      <c r="C181" s="44" t="s">
        <v>1036</v>
      </c>
      <c r="D181" s="275">
        <v>100004974</v>
      </c>
      <c r="E181" s="44" t="s">
        <v>969</v>
      </c>
      <c r="F181" s="44" t="s">
        <v>950</v>
      </c>
      <c r="G181" s="44" t="s">
        <v>965</v>
      </c>
      <c r="H181" s="269">
        <v>5000</v>
      </c>
    </row>
    <row r="182" spans="1:8" hidden="1" outlineLevel="2" x14ac:dyDescent="0.25">
      <c r="A182" s="44" t="s">
        <v>199</v>
      </c>
      <c r="B182" s="274">
        <v>44494</v>
      </c>
      <c r="C182" s="44" t="s">
        <v>1036</v>
      </c>
      <c r="D182" s="275">
        <v>100004974</v>
      </c>
      <c r="E182" s="44" t="s">
        <v>970</v>
      </c>
      <c r="F182" s="44" t="s">
        <v>717</v>
      </c>
      <c r="G182" s="44" t="s">
        <v>965</v>
      </c>
      <c r="H182" s="269">
        <v>7075</v>
      </c>
    </row>
    <row r="183" spans="1:8" hidden="1" outlineLevel="2" x14ac:dyDescent="0.25">
      <c r="A183" s="44" t="s">
        <v>199</v>
      </c>
      <c r="B183" s="274">
        <v>44495</v>
      </c>
      <c r="C183" s="44" t="s">
        <v>1036</v>
      </c>
      <c r="D183" s="275">
        <v>100004976</v>
      </c>
      <c r="E183" s="44" t="s">
        <v>958</v>
      </c>
      <c r="F183" s="44" t="s">
        <v>958</v>
      </c>
      <c r="G183" s="44"/>
      <c r="H183" s="269">
        <v>3000</v>
      </c>
    </row>
    <row r="184" spans="1:8" hidden="1" outlineLevel="2" x14ac:dyDescent="0.25">
      <c r="A184" s="44" t="s">
        <v>199</v>
      </c>
      <c r="B184" s="274">
        <v>44495</v>
      </c>
      <c r="C184" s="44" t="s">
        <v>1036</v>
      </c>
      <c r="D184" s="275">
        <v>100004976</v>
      </c>
      <c r="E184" s="44" t="s">
        <v>717</v>
      </c>
      <c r="F184" s="44" t="s">
        <v>717</v>
      </c>
      <c r="G184" s="44"/>
      <c r="H184" s="269">
        <v>6725</v>
      </c>
    </row>
    <row r="185" spans="1:8" hidden="1" outlineLevel="2" x14ac:dyDescent="0.25">
      <c r="A185" s="44" t="s">
        <v>199</v>
      </c>
      <c r="B185" s="274">
        <v>44495</v>
      </c>
      <c r="C185" s="44" t="s">
        <v>1036</v>
      </c>
      <c r="D185" s="275">
        <v>100004976</v>
      </c>
      <c r="E185" s="44" t="s">
        <v>971</v>
      </c>
      <c r="F185" s="44" t="s">
        <v>950</v>
      </c>
      <c r="G185" s="44"/>
      <c r="H185" s="269">
        <v>5000</v>
      </c>
    </row>
    <row r="186" spans="1:8" hidden="1" outlineLevel="2" x14ac:dyDescent="0.25">
      <c r="A186" s="44" t="s">
        <v>199</v>
      </c>
      <c r="B186" s="274">
        <v>44495</v>
      </c>
      <c r="C186" s="44" t="s">
        <v>1036</v>
      </c>
      <c r="D186" s="275">
        <v>100004976</v>
      </c>
      <c r="E186" s="44" t="s">
        <v>972</v>
      </c>
      <c r="F186" s="44" t="s">
        <v>964</v>
      </c>
      <c r="G186" s="44"/>
      <c r="H186" s="269">
        <v>3000</v>
      </c>
    </row>
    <row r="187" spans="1:8" ht="30" hidden="1" outlineLevel="2" x14ac:dyDescent="0.25">
      <c r="A187" s="44" t="s">
        <v>199</v>
      </c>
      <c r="B187" s="274">
        <v>44495</v>
      </c>
      <c r="C187" s="44" t="s">
        <v>1036</v>
      </c>
      <c r="D187" s="275">
        <v>100004977</v>
      </c>
      <c r="E187" s="44" t="s">
        <v>973</v>
      </c>
      <c r="F187" s="44" t="s">
        <v>953</v>
      </c>
      <c r="G187" s="44" t="s">
        <v>965</v>
      </c>
      <c r="H187" s="269">
        <v>1200</v>
      </c>
    </row>
    <row r="188" spans="1:8" hidden="1" outlineLevel="2" x14ac:dyDescent="0.25">
      <c r="A188" s="44" t="s">
        <v>199</v>
      </c>
      <c r="B188" s="274">
        <v>44495</v>
      </c>
      <c r="C188" s="44" t="s">
        <v>1036</v>
      </c>
      <c r="D188" s="275">
        <v>100004977</v>
      </c>
      <c r="E188" s="44" t="s">
        <v>974</v>
      </c>
      <c r="F188" s="44" t="s">
        <v>950</v>
      </c>
      <c r="G188" s="44" t="s">
        <v>965</v>
      </c>
      <c r="H188" s="269">
        <v>2000</v>
      </c>
    </row>
    <row r="189" spans="1:8" ht="30" hidden="1" outlineLevel="2" x14ac:dyDescent="0.25">
      <c r="A189" s="44" t="s">
        <v>199</v>
      </c>
      <c r="B189" s="274">
        <v>44495</v>
      </c>
      <c r="C189" s="44" t="s">
        <v>1036</v>
      </c>
      <c r="D189" s="275">
        <v>100004977</v>
      </c>
      <c r="E189" s="44" t="s">
        <v>975</v>
      </c>
      <c r="F189" s="44" t="s">
        <v>717</v>
      </c>
      <c r="G189" s="44" t="s">
        <v>965</v>
      </c>
      <c r="H189" s="269">
        <v>100</v>
      </c>
    </row>
    <row r="190" spans="1:8" ht="30" hidden="1" outlineLevel="2" x14ac:dyDescent="0.25">
      <c r="A190" s="44" t="s">
        <v>199</v>
      </c>
      <c r="B190" s="274">
        <v>44495</v>
      </c>
      <c r="C190" s="44" t="s">
        <v>1036</v>
      </c>
      <c r="D190" s="275">
        <v>100004977</v>
      </c>
      <c r="E190" s="44" t="s">
        <v>976</v>
      </c>
      <c r="F190" s="44" t="s">
        <v>953</v>
      </c>
      <c r="G190" s="44" t="s">
        <v>965</v>
      </c>
      <c r="H190" s="269">
        <v>350</v>
      </c>
    </row>
    <row r="191" spans="1:8" hidden="1" outlineLevel="2" x14ac:dyDescent="0.25">
      <c r="A191" s="44" t="s">
        <v>199</v>
      </c>
      <c r="B191" s="274">
        <v>44495</v>
      </c>
      <c r="C191" s="44" t="s">
        <v>1036</v>
      </c>
      <c r="D191" s="275">
        <v>100004977</v>
      </c>
      <c r="E191" s="44" t="s">
        <v>955</v>
      </c>
      <c r="F191" s="44" t="s">
        <v>956</v>
      </c>
      <c r="G191" s="44" t="s">
        <v>965</v>
      </c>
      <c r="H191" s="269">
        <v>4000</v>
      </c>
    </row>
    <row r="192" spans="1:8" hidden="1" outlineLevel="2" x14ac:dyDescent="0.25">
      <c r="A192" s="44" t="s">
        <v>199</v>
      </c>
      <c r="B192" s="274">
        <v>44495</v>
      </c>
      <c r="C192" s="44" t="s">
        <v>1036</v>
      </c>
      <c r="D192" s="275">
        <v>100004977</v>
      </c>
      <c r="E192" s="44" t="s">
        <v>977</v>
      </c>
      <c r="F192" s="44" t="s">
        <v>940</v>
      </c>
      <c r="G192" s="44" t="s">
        <v>965</v>
      </c>
      <c r="H192" s="269">
        <v>500</v>
      </c>
    </row>
    <row r="193" spans="1:8" ht="30" hidden="1" outlineLevel="2" x14ac:dyDescent="0.25">
      <c r="A193" s="44" t="s">
        <v>199</v>
      </c>
      <c r="B193" s="274">
        <v>44495</v>
      </c>
      <c r="C193" s="44" t="s">
        <v>1036</v>
      </c>
      <c r="D193" s="275">
        <v>100004977</v>
      </c>
      <c r="E193" s="44" t="s">
        <v>957</v>
      </c>
      <c r="F193" s="44" t="s">
        <v>958</v>
      </c>
      <c r="G193" s="44" t="s">
        <v>965</v>
      </c>
      <c r="H193" s="269">
        <v>200</v>
      </c>
    </row>
    <row r="194" spans="1:8" hidden="1" outlineLevel="2" x14ac:dyDescent="0.25">
      <c r="A194" s="44" t="s">
        <v>199</v>
      </c>
      <c r="B194" s="274">
        <v>44495</v>
      </c>
      <c r="C194" s="44" t="s">
        <v>1036</v>
      </c>
      <c r="D194" s="275">
        <v>100004977</v>
      </c>
      <c r="E194" s="44" t="s">
        <v>959</v>
      </c>
      <c r="F194" s="44" t="s">
        <v>950</v>
      </c>
      <c r="G194" s="44" t="s">
        <v>965</v>
      </c>
      <c r="H194" s="269">
        <v>500</v>
      </c>
    </row>
    <row r="195" spans="1:8" hidden="1" outlineLevel="2" x14ac:dyDescent="0.25">
      <c r="A195" s="44" t="s">
        <v>199</v>
      </c>
      <c r="B195" s="274">
        <v>44495</v>
      </c>
      <c r="C195" s="44" t="s">
        <v>1036</v>
      </c>
      <c r="D195" s="275">
        <v>100004977</v>
      </c>
      <c r="E195" s="44" t="s">
        <v>978</v>
      </c>
      <c r="F195" s="44" t="s">
        <v>961</v>
      </c>
      <c r="G195" s="44" t="s">
        <v>965</v>
      </c>
      <c r="H195" s="269">
        <v>500</v>
      </c>
    </row>
    <row r="196" spans="1:8" ht="30" hidden="1" outlineLevel="2" x14ac:dyDescent="0.25">
      <c r="A196" s="44" t="s">
        <v>199</v>
      </c>
      <c r="B196" s="274">
        <v>44495</v>
      </c>
      <c r="C196" s="44" t="s">
        <v>1036</v>
      </c>
      <c r="D196" s="275">
        <v>100004978</v>
      </c>
      <c r="E196" s="44" t="s">
        <v>979</v>
      </c>
      <c r="F196" s="44" t="s">
        <v>953</v>
      </c>
      <c r="G196" s="44" t="s">
        <v>965</v>
      </c>
      <c r="H196" s="269">
        <v>1200</v>
      </c>
    </row>
    <row r="197" spans="1:8" hidden="1" outlineLevel="2" x14ac:dyDescent="0.25">
      <c r="A197" s="44" t="s">
        <v>199</v>
      </c>
      <c r="B197" s="274">
        <v>44495</v>
      </c>
      <c r="C197" s="44" t="s">
        <v>1036</v>
      </c>
      <c r="D197" s="275">
        <v>100004978</v>
      </c>
      <c r="E197" s="44" t="s">
        <v>974</v>
      </c>
      <c r="F197" s="44" t="s">
        <v>950</v>
      </c>
      <c r="G197" s="44" t="s">
        <v>965</v>
      </c>
      <c r="H197" s="269">
        <v>2000</v>
      </c>
    </row>
    <row r="198" spans="1:8" hidden="1" outlineLevel="2" x14ac:dyDescent="0.25">
      <c r="A198" s="44" t="s">
        <v>199</v>
      </c>
      <c r="B198" s="274">
        <v>44495</v>
      </c>
      <c r="C198" s="44" t="s">
        <v>1036</v>
      </c>
      <c r="D198" s="275">
        <v>100004978</v>
      </c>
      <c r="E198" s="44" t="s">
        <v>980</v>
      </c>
      <c r="F198" s="44" t="s">
        <v>717</v>
      </c>
      <c r="G198" s="44" t="s">
        <v>965</v>
      </c>
      <c r="H198" s="269">
        <v>100</v>
      </c>
    </row>
    <row r="199" spans="1:8" ht="30" hidden="1" outlineLevel="2" x14ac:dyDescent="0.25">
      <c r="A199" s="44" t="s">
        <v>199</v>
      </c>
      <c r="B199" s="274">
        <v>44495</v>
      </c>
      <c r="C199" s="44" t="s">
        <v>1036</v>
      </c>
      <c r="D199" s="275">
        <v>100004978</v>
      </c>
      <c r="E199" s="44" t="s">
        <v>981</v>
      </c>
      <c r="F199" s="44" t="s">
        <v>953</v>
      </c>
      <c r="G199" s="44" t="s">
        <v>965</v>
      </c>
      <c r="H199" s="269">
        <v>350</v>
      </c>
    </row>
    <row r="200" spans="1:8" hidden="1" outlineLevel="2" x14ac:dyDescent="0.25">
      <c r="A200" s="44" t="s">
        <v>199</v>
      </c>
      <c r="B200" s="274">
        <v>44495</v>
      </c>
      <c r="C200" s="44" t="s">
        <v>1036</v>
      </c>
      <c r="D200" s="275">
        <v>100004978</v>
      </c>
      <c r="E200" s="44" t="s">
        <v>955</v>
      </c>
      <c r="F200" s="44" t="s">
        <v>956</v>
      </c>
      <c r="G200" s="44" t="s">
        <v>965</v>
      </c>
      <c r="H200" s="269">
        <v>4000</v>
      </c>
    </row>
    <row r="201" spans="1:8" ht="30" hidden="1" outlineLevel="2" x14ac:dyDescent="0.25">
      <c r="A201" s="44" t="s">
        <v>199</v>
      </c>
      <c r="B201" s="274">
        <v>44495</v>
      </c>
      <c r="C201" s="44" t="s">
        <v>1036</v>
      </c>
      <c r="D201" s="275">
        <v>100004978</v>
      </c>
      <c r="E201" s="44" t="s">
        <v>957</v>
      </c>
      <c r="F201" s="44" t="s">
        <v>958</v>
      </c>
      <c r="G201" s="44" t="s">
        <v>965</v>
      </c>
      <c r="H201" s="269">
        <v>200</v>
      </c>
    </row>
    <row r="202" spans="1:8" hidden="1" outlineLevel="2" x14ac:dyDescent="0.25">
      <c r="A202" s="44" t="s">
        <v>199</v>
      </c>
      <c r="B202" s="274">
        <v>44495</v>
      </c>
      <c r="C202" s="44" t="s">
        <v>1036</v>
      </c>
      <c r="D202" s="275">
        <v>100004978</v>
      </c>
      <c r="E202" s="44" t="s">
        <v>959</v>
      </c>
      <c r="F202" s="44" t="s">
        <v>950</v>
      </c>
      <c r="G202" s="44" t="s">
        <v>965</v>
      </c>
      <c r="H202" s="269">
        <v>1000</v>
      </c>
    </row>
    <row r="203" spans="1:8" hidden="1" outlineLevel="2" x14ac:dyDescent="0.25">
      <c r="A203" s="44" t="s">
        <v>199</v>
      </c>
      <c r="B203" s="274">
        <v>44495</v>
      </c>
      <c r="C203" s="44" t="s">
        <v>1036</v>
      </c>
      <c r="D203" s="275">
        <v>100004978</v>
      </c>
      <c r="E203" s="44" t="s">
        <v>978</v>
      </c>
      <c r="F203" s="44" t="s">
        <v>961</v>
      </c>
      <c r="G203" s="44" t="s">
        <v>965</v>
      </c>
      <c r="H203" s="269">
        <v>800</v>
      </c>
    </row>
    <row r="204" spans="1:8" hidden="1" outlineLevel="2" x14ac:dyDescent="0.25">
      <c r="A204" s="44" t="s">
        <v>199</v>
      </c>
      <c r="B204" s="274">
        <v>44495</v>
      </c>
      <c r="C204" s="44" t="s">
        <v>1036</v>
      </c>
      <c r="D204" s="275">
        <v>100004979</v>
      </c>
      <c r="E204" s="44" t="s">
        <v>963</v>
      </c>
      <c r="F204" s="44" t="s">
        <v>964</v>
      </c>
      <c r="G204" s="44" t="s">
        <v>965</v>
      </c>
      <c r="H204" s="269">
        <v>4500</v>
      </c>
    </row>
    <row r="205" spans="1:8" hidden="1" outlineLevel="2" x14ac:dyDescent="0.25">
      <c r="A205" s="44" t="s">
        <v>199</v>
      </c>
      <c r="B205" s="274">
        <v>44495</v>
      </c>
      <c r="C205" s="44" t="s">
        <v>1036</v>
      </c>
      <c r="D205" s="275">
        <v>100004979</v>
      </c>
      <c r="E205" s="44" t="s">
        <v>982</v>
      </c>
      <c r="F205" s="44" t="s">
        <v>950</v>
      </c>
      <c r="G205" s="44" t="s">
        <v>965</v>
      </c>
      <c r="H205" s="269">
        <v>3000</v>
      </c>
    </row>
    <row r="206" spans="1:8" hidden="1" outlineLevel="2" x14ac:dyDescent="0.25">
      <c r="A206" s="44" t="s">
        <v>199</v>
      </c>
      <c r="B206" s="274">
        <v>44495</v>
      </c>
      <c r="C206" s="44" t="s">
        <v>1036</v>
      </c>
      <c r="D206" s="275">
        <v>100004979</v>
      </c>
      <c r="E206" s="44" t="s">
        <v>983</v>
      </c>
      <c r="F206" s="44" t="s">
        <v>968</v>
      </c>
      <c r="G206" s="44" t="s">
        <v>965</v>
      </c>
      <c r="H206" s="269">
        <v>1250</v>
      </c>
    </row>
    <row r="207" spans="1:8" hidden="1" outlineLevel="2" x14ac:dyDescent="0.25">
      <c r="A207" s="44" t="s">
        <v>199</v>
      </c>
      <c r="B207" s="274">
        <v>44495</v>
      </c>
      <c r="C207" s="44" t="s">
        <v>1036</v>
      </c>
      <c r="D207" s="275">
        <v>100004979</v>
      </c>
      <c r="E207" s="44" t="s">
        <v>970</v>
      </c>
      <c r="F207" s="44" t="s">
        <v>717</v>
      </c>
      <c r="G207" s="44" t="s">
        <v>965</v>
      </c>
      <c r="H207" s="269">
        <v>6725</v>
      </c>
    </row>
    <row r="208" spans="1:8" hidden="1" outlineLevel="2" x14ac:dyDescent="0.25">
      <c r="A208" s="44" t="s">
        <v>199</v>
      </c>
      <c r="B208" s="274">
        <v>44495</v>
      </c>
      <c r="C208" s="44" t="s">
        <v>1036</v>
      </c>
      <c r="D208" s="275">
        <v>100004979</v>
      </c>
      <c r="E208" s="44" t="s">
        <v>984</v>
      </c>
      <c r="F208" s="44" t="s">
        <v>950</v>
      </c>
      <c r="G208" s="44" t="s">
        <v>965</v>
      </c>
      <c r="H208" s="269">
        <v>5000</v>
      </c>
    </row>
    <row r="209" spans="1:8" outlineLevel="1" collapsed="1" x14ac:dyDescent="0.25">
      <c r="A209" s="282" t="s">
        <v>647</v>
      </c>
      <c r="B209" s="741"/>
      <c r="C209" s="742"/>
      <c r="D209" s="742"/>
      <c r="E209" s="742"/>
      <c r="F209" s="742"/>
      <c r="G209" s="743"/>
      <c r="H209" s="285">
        <f>SUBTOTAL(9,H162:H208)</f>
        <v>98099.959999999992</v>
      </c>
    </row>
    <row r="210" spans="1:8" hidden="1" outlineLevel="2" x14ac:dyDescent="0.25">
      <c r="A210" s="44" t="s">
        <v>207</v>
      </c>
      <c r="B210" s="274">
        <v>44470</v>
      </c>
      <c r="C210" s="44" t="s">
        <v>1034</v>
      </c>
      <c r="D210" s="275">
        <v>500033638</v>
      </c>
      <c r="E210" s="44" t="s">
        <v>713</v>
      </c>
      <c r="F210" s="44" t="s">
        <v>714</v>
      </c>
      <c r="G210" s="44"/>
      <c r="H210" s="276">
        <v>1791.53</v>
      </c>
    </row>
    <row r="211" spans="1:8" hidden="1" outlineLevel="2" x14ac:dyDescent="0.25">
      <c r="A211" s="44" t="s">
        <v>207</v>
      </c>
      <c r="B211" s="274">
        <v>44470</v>
      </c>
      <c r="C211" s="44" t="s">
        <v>1034</v>
      </c>
      <c r="D211" s="275">
        <v>10400560760</v>
      </c>
      <c r="E211" s="44" t="s">
        <v>716</v>
      </c>
      <c r="F211" s="44" t="s">
        <v>717</v>
      </c>
      <c r="G211" s="44"/>
      <c r="H211" s="276">
        <v>158.68</v>
      </c>
    </row>
    <row r="212" spans="1:8" hidden="1" outlineLevel="2" x14ac:dyDescent="0.25">
      <c r="A212" s="44" t="s">
        <v>207</v>
      </c>
      <c r="B212" s="274">
        <v>44470</v>
      </c>
      <c r="C212" s="44" t="s">
        <v>1034</v>
      </c>
      <c r="D212" s="275">
        <v>10400578195</v>
      </c>
      <c r="E212" s="44" t="s">
        <v>716</v>
      </c>
      <c r="F212" s="44" t="s">
        <v>717</v>
      </c>
      <c r="G212" s="44"/>
      <c r="H212" s="276">
        <v>833.42</v>
      </c>
    </row>
    <row r="213" spans="1:8" hidden="1" outlineLevel="2" x14ac:dyDescent="0.25">
      <c r="A213" s="44" t="s">
        <v>207</v>
      </c>
      <c r="B213" s="274">
        <v>44470</v>
      </c>
      <c r="C213" s="44" t="s">
        <v>1034</v>
      </c>
      <c r="D213" s="275">
        <v>60000274229</v>
      </c>
      <c r="E213" s="44" t="s">
        <v>718</v>
      </c>
      <c r="F213" s="44" t="s">
        <v>717</v>
      </c>
      <c r="G213" s="44"/>
      <c r="H213" s="276">
        <v>1575.41</v>
      </c>
    </row>
    <row r="214" spans="1:8" ht="30" hidden="1" outlineLevel="2" x14ac:dyDescent="0.25">
      <c r="A214" s="44" t="s">
        <v>207</v>
      </c>
      <c r="B214" s="274">
        <v>44470</v>
      </c>
      <c r="C214" s="44" t="s">
        <v>1034</v>
      </c>
      <c r="D214" s="275">
        <v>62902669209</v>
      </c>
      <c r="E214" s="44" t="s">
        <v>719</v>
      </c>
      <c r="F214" s="44" t="s">
        <v>717</v>
      </c>
      <c r="G214" s="44"/>
      <c r="H214" s="276">
        <v>727.78</v>
      </c>
    </row>
    <row r="215" spans="1:8" hidden="1" outlineLevel="2" x14ac:dyDescent="0.25">
      <c r="A215" s="44" t="s">
        <v>207</v>
      </c>
      <c r="B215" s="274">
        <v>44474</v>
      </c>
      <c r="C215" s="44" t="s">
        <v>1034</v>
      </c>
      <c r="D215" s="275">
        <v>200000058</v>
      </c>
      <c r="E215" s="44" t="s">
        <v>733</v>
      </c>
      <c r="F215" s="44" t="s">
        <v>752</v>
      </c>
      <c r="G215" s="44"/>
      <c r="H215" s="276">
        <v>1800</v>
      </c>
    </row>
    <row r="216" spans="1:8" hidden="1" outlineLevel="2" x14ac:dyDescent="0.25">
      <c r="A216" s="44" t="s">
        <v>207</v>
      </c>
      <c r="B216" s="274">
        <v>44474</v>
      </c>
      <c r="C216" s="44" t="s">
        <v>1034</v>
      </c>
      <c r="D216" s="275">
        <v>200000058</v>
      </c>
      <c r="E216" s="44" t="s">
        <v>733</v>
      </c>
      <c r="F216" s="44" t="s">
        <v>738</v>
      </c>
      <c r="G216" s="44"/>
      <c r="H216" s="276">
        <v>5000</v>
      </c>
    </row>
    <row r="217" spans="1:8" hidden="1" outlineLevel="2" x14ac:dyDescent="0.25">
      <c r="A217" s="44" t="s">
        <v>207</v>
      </c>
      <c r="B217" s="274">
        <v>44482</v>
      </c>
      <c r="C217" s="44" t="s">
        <v>1034</v>
      </c>
      <c r="D217" s="275">
        <v>400035303</v>
      </c>
      <c r="E217" s="44" t="s">
        <v>780</v>
      </c>
      <c r="F217" s="44" t="s">
        <v>781</v>
      </c>
      <c r="G217" s="44"/>
      <c r="H217" s="276">
        <v>13376</v>
      </c>
    </row>
    <row r="218" spans="1:8" hidden="1" outlineLevel="2" x14ac:dyDescent="0.25">
      <c r="A218" s="44" t="s">
        <v>207</v>
      </c>
      <c r="B218" s="274">
        <v>44482</v>
      </c>
      <c r="C218" s="44" t="s">
        <v>1034</v>
      </c>
      <c r="D218" s="275">
        <v>400035303</v>
      </c>
      <c r="E218" s="44" t="s">
        <v>780</v>
      </c>
      <c r="F218" s="44" t="s">
        <v>782</v>
      </c>
      <c r="G218" s="44"/>
      <c r="H218" s="276">
        <v>14003</v>
      </c>
    </row>
    <row r="219" spans="1:8" hidden="1" outlineLevel="2" x14ac:dyDescent="0.25">
      <c r="A219" s="44" t="s">
        <v>207</v>
      </c>
      <c r="B219" s="274">
        <v>44482</v>
      </c>
      <c r="C219" s="44" t="s">
        <v>1034</v>
      </c>
      <c r="D219" s="275">
        <v>400035303</v>
      </c>
      <c r="E219" s="44" t="s">
        <v>780</v>
      </c>
      <c r="F219" s="44" t="s">
        <v>783</v>
      </c>
      <c r="G219" s="44"/>
      <c r="H219" s="276">
        <v>564.32000000000005</v>
      </c>
    </row>
    <row r="220" spans="1:8" hidden="1" outlineLevel="2" x14ac:dyDescent="0.25">
      <c r="A220" s="44" t="s">
        <v>207</v>
      </c>
      <c r="B220" s="274">
        <v>44482</v>
      </c>
      <c r="C220" s="44" t="s">
        <v>1034</v>
      </c>
      <c r="D220" s="275">
        <v>400035303</v>
      </c>
      <c r="E220" s="44" t="s">
        <v>780</v>
      </c>
      <c r="F220" s="44" t="s">
        <v>784</v>
      </c>
      <c r="G220" s="44"/>
      <c r="H220" s="276">
        <v>7106</v>
      </c>
    </row>
    <row r="221" spans="1:8" ht="30" hidden="1" outlineLevel="2" x14ac:dyDescent="0.25">
      <c r="A221" s="44" t="s">
        <v>207</v>
      </c>
      <c r="B221" s="274">
        <v>44488</v>
      </c>
      <c r="C221" s="44" t="s">
        <v>1034</v>
      </c>
      <c r="D221" s="275">
        <v>62902744239</v>
      </c>
      <c r="E221" s="44" t="s">
        <v>719</v>
      </c>
      <c r="F221" s="44" t="s">
        <v>717</v>
      </c>
      <c r="G221" s="44"/>
      <c r="H221" s="276">
        <v>107.27</v>
      </c>
    </row>
    <row r="222" spans="1:8" hidden="1" outlineLevel="2" x14ac:dyDescent="0.25">
      <c r="A222" s="44" t="s">
        <v>207</v>
      </c>
      <c r="B222" s="274">
        <v>44491</v>
      </c>
      <c r="C222" s="44" t="s">
        <v>1034</v>
      </c>
      <c r="D222" s="275">
        <v>10400676781</v>
      </c>
      <c r="E222" s="44" t="s">
        <v>716</v>
      </c>
      <c r="F222" s="44" t="s">
        <v>717</v>
      </c>
      <c r="G222" s="44"/>
      <c r="H222" s="276">
        <v>578.51</v>
      </c>
    </row>
    <row r="223" spans="1:8" hidden="1" outlineLevel="2" x14ac:dyDescent="0.25">
      <c r="A223" s="44" t="s">
        <v>207</v>
      </c>
      <c r="B223" s="274">
        <v>44491</v>
      </c>
      <c r="C223" s="44" t="s">
        <v>1034</v>
      </c>
      <c r="D223" s="275">
        <v>10400701977</v>
      </c>
      <c r="E223" s="44" t="s">
        <v>716</v>
      </c>
      <c r="F223" s="44" t="s">
        <v>717</v>
      </c>
      <c r="G223" s="44"/>
      <c r="H223" s="276">
        <v>887.6</v>
      </c>
    </row>
    <row r="224" spans="1:8" hidden="1" outlineLevel="2" x14ac:dyDescent="0.25">
      <c r="A224" s="44" t="s">
        <v>207</v>
      </c>
      <c r="B224" s="274">
        <v>44500</v>
      </c>
      <c r="C224" s="44" t="s">
        <v>1034</v>
      </c>
      <c r="D224" s="275">
        <v>60000298248</v>
      </c>
      <c r="E224" s="44" t="s">
        <v>718</v>
      </c>
      <c r="F224" s="44" t="s">
        <v>717</v>
      </c>
      <c r="G224" s="44"/>
      <c r="H224" s="276">
        <v>1827.18</v>
      </c>
    </row>
    <row r="225" spans="1:8" hidden="1" outlineLevel="2" x14ac:dyDescent="0.25">
      <c r="A225" s="44" t="s">
        <v>207</v>
      </c>
      <c r="B225" s="274">
        <v>44484</v>
      </c>
      <c r="C225" s="44" t="s">
        <v>1035</v>
      </c>
      <c r="D225" s="275">
        <v>400005628</v>
      </c>
      <c r="E225" s="44" t="s">
        <v>780</v>
      </c>
      <c r="F225" s="44" t="s">
        <v>838</v>
      </c>
      <c r="G225" s="44"/>
      <c r="H225" s="276">
        <v>-2453.4499999999998</v>
      </c>
    </row>
    <row r="226" spans="1:8" hidden="1" outlineLevel="2" x14ac:dyDescent="0.25">
      <c r="A226" s="44" t="s">
        <v>207</v>
      </c>
      <c r="B226" s="274">
        <v>44471</v>
      </c>
      <c r="C226" s="44" t="s">
        <v>1032</v>
      </c>
      <c r="D226" s="275">
        <v>6534</v>
      </c>
      <c r="E226" s="44" t="s">
        <v>846</v>
      </c>
      <c r="F226" s="44" t="s">
        <v>890</v>
      </c>
      <c r="G226" s="44" t="s">
        <v>891</v>
      </c>
      <c r="H226" s="276">
        <v>918.38</v>
      </c>
    </row>
    <row r="227" spans="1:8" hidden="1" outlineLevel="2" x14ac:dyDescent="0.25">
      <c r="A227" s="44" t="s">
        <v>207</v>
      </c>
      <c r="B227" s="274">
        <v>44483</v>
      </c>
      <c r="C227" s="44" t="s">
        <v>1032</v>
      </c>
      <c r="D227" s="275">
        <v>6577</v>
      </c>
      <c r="E227" s="44" t="s">
        <v>846</v>
      </c>
      <c r="F227" s="44" t="s">
        <v>866</v>
      </c>
      <c r="G227" s="44" t="s">
        <v>854</v>
      </c>
      <c r="H227" s="276">
        <v>1032.03</v>
      </c>
    </row>
    <row r="228" spans="1:8" hidden="1" outlineLevel="2" x14ac:dyDescent="0.25">
      <c r="A228" s="44" t="s">
        <v>207</v>
      </c>
      <c r="B228" s="274">
        <v>44473</v>
      </c>
      <c r="C228" s="44" t="s">
        <v>1036</v>
      </c>
      <c r="D228" s="275">
        <v>100004935</v>
      </c>
      <c r="E228" s="44" t="s">
        <v>985</v>
      </c>
      <c r="F228" s="44" t="s">
        <v>934</v>
      </c>
      <c r="G228" s="44" t="s">
        <v>986</v>
      </c>
      <c r="H228" s="269">
        <v>500</v>
      </c>
    </row>
    <row r="229" spans="1:8" ht="30" hidden="1" outlineLevel="2" x14ac:dyDescent="0.25">
      <c r="A229" s="44" t="s">
        <v>207</v>
      </c>
      <c r="B229" s="274">
        <v>44473</v>
      </c>
      <c r="C229" s="44" t="s">
        <v>1036</v>
      </c>
      <c r="D229" s="275">
        <v>100004935</v>
      </c>
      <c r="E229" s="44" t="s">
        <v>987</v>
      </c>
      <c r="F229" s="44" t="s">
        <v>953</v>
      </c>
      <c r="G229" s="44" t="s">
        <v>986</v>
      </c>
      <c r="H229" s="269">
        <v>600</v>
      </c>
    </row>
    <row r="230" spans="1:8" hidden="1" outlineLevel="2" x14ac:dyDescent="0.25">
      <c r="A230" s="44" t="s">
        <v>207</v>
      </c>
      <c r="B230" s="274">
        <v>44473</v>
      </c>
      <c r="C230" s="44" t="s">
        <v>1036</v>
      </c>
      <c r="D230" s="275">
        <v>100004935</v>
      </c>
      <c r="E230" s="44" t="s">
        <v>716</v>
      </c>
      <c r="F230" s="44" t="s">
        <v>717</v>
      </c>
      <c r="G230" s="44" t="s">
        <v>986</v>
      </c>
      <c r="H230" s="269">
        <v>264.46281199999999</v>
      </c>
    </row>
    <row r="231" spans="1:8" hidden="1" outlineLevel="2" x14ac:dyDescent="0.25">
      <c r="A231" s="44" t="s">
        <v>207</v>
      </c>
      <c r="B231" s="274">
        <v>44473</v>
      </c>
      <c r="C231" s="44" t="s">
        <v>1036</v>
      </c>
      <c r="D231" s="275">
        <v>100004935</v>
      </c>
      <c r="E231" s="44" t="s">
        <v>716</v>
      </c>
      <c r="F231" s="44" t="s">
        <v>717</v>
      </c>
      <c r="G231" s="44" t="s">
        <v>986</v>
      </c>
      <c r="H231" s="269">
        <v>280.99176399999999</v>
      </c>
    </row>
    <row r="232" spans="1:8" hidden="1" outlineLevel="2" x14ac:dyDescent="0.25">
      <c r="A232" s="44" t="s">
        <v>207</v>
      </c>
      <c r="B232" s="274">
        <v>44473</v>
      </c>
      <c r="C232" s="44" t="s">
        <v>1036</v>
      </c>
      <c r="D232" s="275">
        <v>100004935</v>
      </c>
      <c r="E232" s="44" t="s">
        <v>716</v>
      </c>
      <c r="F232" s="44" t="s">
        <v>717</v>
      </c>
      <c r="G232" s="44" t="s">
        <v>986</v>
      </c>
      <c r="H232" s="269">
        <v>157.02481299999999</v>
      </c>
    </row>
    <row r="233" spans="1:8" hidden="1" outlineLevel="2" x14ac:dyDescent="0.25">
      <c r="A233" s="44" t="s">
        <v>207</v>
      </c>
      <c r="B233" s="274">
        <v>44473</v>
      </c>
      <c r="C233" s="44" t="s">
        <v>1036</v>
      </c>
      <c r="D233" s="275">
        <v>100004935</v>
      </c>
      <c r="E233" s="44" t="s">
        <v>716</v>
      </c>
      <c r="F233" s="44" t="s">
        <v>717</v>
      </c>
      <c r="G233" s="44" t="s">
        <v>986</v>
      </c>
      <c r="H233" s="269">
        <v>181.81819899999999</v>
      </c>
    </row>
    <row r="234" spans="1:8" ht="30" hidden="1" outlineLevel="2" x14ac:dyDescent="0.25">
      <c r="A234" s="44" t="s">
        <v>207</v>
      </c>
      <c r="B234" s="274">
        <v>44473</v>
      </c>
      <c r="C234" s="44" t="s">
        <v>1036</v>
      </c>
      <c r="D234" s="275">
        <v>100004935</v>
      </c>
      <c r="E234" s="44" t="s">
        <v>915</v>
      </c>
      <c r="F234" s="44" t="s">
        <v>717</v>
      </c>
      <c r="G234" s="44" t="s">
        <v>986</v>
      </c>
      <c r="H234" s="269">
        <v>413.22316999999998</v>
      </c>
    </row>
    <row r="235" spans="1:8" ht="30" hidden="1" outlineLevel="2" x14ac:dyDescent="0.25">
      <c r="A235" s="44" t="s">
        <v>207</v>
      </c>
      <c r="B235" s="274">
        <v>44473</v>
      </c>
      <c r="C235" s="44" t="s">
        <v>1036</v>
      </c>
      <c r="D235" s="275">
        <v>100004935</v>
      </c>
      <c r="E235" s="44" t="s">
        <v>988</v>
      </c>
      <c r="F235" s="44" t="s">
        <v>953</v>
      </c>
      <c r="G235" s="44" t="s">
        <v>986</v>
      </c>
      <c r="H235" s="269">
        <v>520</v>
      </c>
    </row>
    <row r="236" spans="1:8" ht="30" hidden="1" outlineLevel="2" x14ac:dyDescent="0.25">
      <c r="A236" s="44" t="s">
        <v>207</v>
      </c>
      <c r="B236" s="274">
        <v>44483</v>
      </c>
      <c r="C236" s="44" t="s">
        <v>1036</v>
      </c>
      <c r="D236" s="275">
        <v>100004945</v>
      </c>
      <c r="E236" s="44" t="s">
        <v>989</v>
      </c>
      <c r="F236" s="44" t="s">
        <v>953</v>
      </c>
      <c r="G236" s="44" t="s">
        <v>990</v>
      </c>
      <c r="H236" s="269">
        <v>600</v>
      </c>
    </row>
    <row r="237" spans="1:8" hidden="1" outlineLevel="2" x14ac:dyDescent="0.25">
      <c r="A237" s="44" t="s">
        <v>207</v>
      </c>
      <c r="B237" s="274">
        <v>44483</v>
      </c>
      <c r="C237" s="44" t="s">
        <v>1036</v>
      </c>
      <c r="D237" s="275">
        <v>100004945</v>
      </c>
      <c r="E237" s="44" t="s">
        <v>716</v>
      </c>
      <c r="F237" s="44" t="s">
        <v>717</v>
      </c>
      <c r="G237" s="44" t="s">
        <v>990</v>
      </c>
      <c r="H237" s="269">
        <v>181.81819899999999</v>
      </c>
    </row>
    <row r="238" spans="1:8" ht="30" hidden="1" outlineLevel="2" x14ac:dyDescent="0.25">
      <c r="A238" s="44" t="s">
        <v>207</v>
      </c>
      <c r="B238" s="274">
        <v>44483</v>
      </c>
      <c r="C238" s="44" t="s">
        <v>1036</v>
      </c>
      <c r="D238" s="275">
        <v>100004945</v>
      </c>
      <c r="E238" s="44" t="s">
        <v>915</v>
      </c>
      <c r="F238" s="44" t="s">
        <v>717</v>
      </c>
      <c r="G238" s="44" t="s">
        <v>990</v>
      </c>
      <c r="H238" s="269">
        <v>206.61158499999999</v>
      </c>
    </row>
    <row r="239" spans="1:8" outlineLevel="1" collapsed="1" x14ac:dyDescent="0.25">
      <c r="A239" s="282" t="s">
        <v>648</v>
      </c>
      <c r="B239" s="741"/>
      <c r="C239" s="742"/>
      <c r="D239" s="742"/>
      <c r="E239" s="742"/>
      <c r="F239" s="742"/>
      <c r="G239" s="743"/>
      <c r="H239" s="285">
        <f>SUBTOTAL(9,H210:H238)</f>
        <v>53739.610541999988</v>
      </c>
    </row>
    <row r="240" spans="1:8" hidden="1" outlineLevel="2" x14ac:dyDescent="0.25">
      <c r="A240" s="44" t="s">
        <v>228</v>
      </c>
      <c r="B240" s="274">
        <v>44470</v>
      </c>
      <c r="C240" s="44" t="s">
        <v>1034</v>
      </c>
      <c r="D240" s="275">
        <v>500033638</v>
      </c>
      <c r="E240" s="44" t="s">
        <v>713</v>
      </c>
      <c r="F240" s="44" t="s">
        <v>714</v>
      </c>
      <c r="G240" s="44"/>
      <c r="H240" s="276">
        <v>1791.53</v>
      </c>
    </row>
    <row r="241" spans="1:8" hidden="1" outlineLevel="2" x14ac:dyDescent="0.25">
      <c r="A241" s="44" t="s">
        <v>228</v>
      </c>
      <c r="B241" s="274">
        <v>44470</v>
      </c>
      <c r="C241" s="44" t="s">
        <v>1034</v>
      </c>
      <c r="D241" s="275">
        <v>10400572393</v>
      </c>
      <c r="E241" s="44" t="s">
        <v>716</v>
      </c>
      <c r="F241" s="44" t="s">
        <v>717</v>
      </c>
      <c r="G241" s="44"/>
      <c r="H241" s="276">
        <v>471.07</v>
      </c>
    </row>
    <row r="242" spans="1:8" hidden="1" outlineLevel="2" x14ac:dyDescent="0.25">
      <c r="A242" s="44" t="s">
        <v>228</v>
      </c>
      <c r="B242" s="274">
        <v>44470</v>
      </c>
      <c r="C242" s="44" t="s">
        <v>1034</v>
      </c>
      <c r="D242" s="275">
        <v>10400578195</v>
      </c>
      <c r="E242" s="44" t="s">
        <v>716</v>
      </c>
      <c r="F242" s="44" t="s">
        <v>717</v>
      </c>
      <c r="G242" s="44"/>
      <c r="H242" s="276">
        <v>3411.65</v>
      </c>
    </row>
    <row r="243" spans="1:8" hidden="1" outlineLevel="2" x14ac:dyDescent="0.25">
      <c r="A243" s="44" t="s">
        <v>228</v>
      </c>
      <c r="B243" s="274">
        <v>44470</v>
      </c>
      <c r="C243" s="44" t="s">
        <v>1034</v>
      </c>
      <c r="D243" s="275">
        <v>60000274229</v>
      </c>
      <c r="E243" s="44" t="s">
        <v>718</v>
      </c>
      <c r="F243" s="44" t="s">
        <v>717</v>
      </c>
      <c r="G243" s="44"/>
      <c r="H243" s="276">
        <v>2757.92</v>
      </c>
    </row>
    <row r="244" spans="1:8" hidden="1" outlineLevel="2" x14ac:dyDescent="0.25">
      <c r="A244" s="44" t="s">
        <v>228</v>
      </c>
      <c r="B244" s="274">
        <v>44470</v>
      </c>
      <c r="C244" s="44" t="s">
        <v>1034</v>
      </c>
      <c r="D244" s="275">
        <v>60000285996</v>
      </c>
      <c r="E244" s="44" t="s">
        <v>718</v>
      </c>
      <c r="F244" s="44" t="s">
        <v>717</v>
      </c>
      <c r="G244" s="44"/>
      <c r="H244" s="276">
        <v>1750.06</v>
      </c>
    </row>
    <row r="245" spans="1:8" ht="30" hidden="1" outlineLevel="2" x14ac:dyDescent="0.25">
      <c r="A245" s="44" t="s">
        <v>228</v>
      </c>
      <c r="B245" s="274">
        <v>44473</v>
      </c>
      <c r="C245" s="44" t="s">
        <v>1034</v>
      </c>
      <c r="D245" s="275">
        <v>6100301594</v>
      </c>
      <c r="E245" s="44" t="s">
        <v>730</v>
      </c>
      <c r="F245" s="44" t="s">
        <v>717</v>
      </c>
      <c r="G245" s="44"/>
      <c r="H245" s="276">
        <v>686</v>
      </c>
    </row>
    <row r="246" spans="1:8" hidden="1" outlineLevel="2" x14ac:dyDescent="0.25">
      <c r="A246" s="44" t="s">
        <v>228</v>
      </c>
      <c r="B246" s="274">
        <v>44474</v>
      </c>
      <c r="C246" s="44" t="s">
        <v>1034</v>
      </c>
      <c r="D246" s="275">
        <v>200000058</v>
      </c>
      <c r="E246" s="44" t="s">
        <v>733</v>
      </c>
      <c r="F246" s="44" t="s">
        <v>752</v>
      </c>
      <c r="G246" s="44"/>
      <c r="H246" s="276">
        <v>3600</v>
      </c>
    </row>
    <row r="247" spans="1:8" hidden="1" outlineLevel="2" x14ac:dyDescent="0.25">
      <c r="A247" s="44" t="s">
        <v>228</v>
      </c>
      <c r="B247" s="274">
        <v>44474</v>
      </c>
      <c r="C247" s="44" t="s">
        <v>1034</v>
      </c>
      <c r="D247" s="275">
        <v>200000058</v>
      </c>
      <c r="E247" s="44" t="s">
        <v>733</v>
      </c>
      <c r="F247" s="44" t="s">
        <v>790</v>
      </c>
      <c r="G247" s="44"/>
      <c r="H247" s="276">
        <v>700</v>
      </c>
    </row>
    <row r="248" spans="1:8" hidden="1" outlineLevel="2" x14ac:dyDescent="0.25">
      <c r="A248" s="44" t="s">
        <v>228</v>
      </c>
      <c r="B248" s="274">
        <v>44474</v>
      </c>
      <c r="C248" s="44" t="s">
        <v>1034</v>
      </c>
      <c r="D248" s="275">
        <v>200003020</v>
      </c>
      <c r="E248" s="44" t="s">
        <v>758</v>
      </c>
      <c r="F248" s="44" t="s">
        <v>791</v>
      </c>
      <c r="G248" s="44"/>
      <c r="H248" s="276">
        <v>8000</v>
      </c>
    </row>
    <row r="249" spans="1:8" hidden="1" outlineLevel="2" x14ac:dyDescent="0.25">
      <c r="A249" s="44" t="s">
        <v>228</v>
      </c>
      <c r="B249" s="274">
        <v>44474</v>
      </c>
      <c r="C249" s="44" t="s">
        <v>1034</v>
      </c>
      <c r="D249" s="275">
        <v>200003020</v>
      </c>
      <c r="E249" s="44" t="s">
        <v>758</v>
      </c>
      <c r="F249" s="44" t="s">
        <v>792</v>
      </c>
      <c r="G249" s="44"/>
      <c r="H249" s="276">
        <v>13500</v>
      </c>
    </row>
    <row r="250" spans="1:8" hidden="1" outlineLevel="2" x14ac:dyDescent="0.25">
      <c r="A250" s="44" t="s">
        <v>228</v>
      </c>
      <c r="B250" s="274">
        <v>44489</v>
      </c>
      <c r="C250" s="44" t="s">
        <v>1034</v>
      </c>
      <c r="D250" s="275">
        <v>50300370602</v>
      </c>
      <c r="E250" s="44" t="s">
        <v>741</v>
      </c>
      <c r="F250" s="44" t="s">
        <v>717</v>
      </c>
      <c r="G250" s="44"/>
      <c r="H250" s="276">
        <v>247.27</v>
      </c>
    </row>
    <row r="251" spans="1:8" hidden="1" outlineLevel="2" x14ac:dyDescent="0.25">
      <c r="A251" s="44" t="s">
        <v>228</v>
      </c>
      <c r="B251" s="274">
        <v>44491</v>
      </c>
      <c r="C251" s="44" t="s">
        <v>1034</v>
      </c>
      <c r="D251" s="275">
        <v>10400676781</v>
      </c>
      <c r="E251" s="44" t="s">
        <v>716</v>
      </c>
      <c r="F251" s="44" t="s">
        <v>717</v>
      </c>
      <c r="G251" s="44"/>
      <c r="H251" s="276">
        <v>574.38</v>
      </c>
    </row>
    <row r="252" spans="1:8" hidden="1" outlineLevel="2" x14ac:dyDescent="0.25">
      <c r="A252" s="44" t="s">
        <v>228</v>
      </c>
      <c r="B252" s="274">
        <v>44491</v>
      </c>
      <c r="C252" s="44" t="s">
        <v>1034</v>
      </c>
      <c r="D252" s="275">
        <v>10400701977</v>
      </c>
      <c r="E252" s="44" t="s">
        <v>716</v>
      </c>
      <c r="F252" s="44" t="s">
        <v>717</v>
      </c>
      <c r="G252" s="44"/>
      <c r="H252" s="276">
        <v>3466.12</v>
      </c>
    </row>
    <row r="253" spans="1:8" hidden="1" outlineLevel="2" x14ac:dyDescent="0.25">
      <c r="A253" s="44" t="s">
        <v>228</v>
      </c>
      <c r="B253" s="274">
        <v>44496</v>
      </c>
      <c r="C253" s="44" t="s">
        <v>1034</v>
      </c>
      <c r="D253" s="275">
        <v>200025670</v>
      </c>
      <c r="E253" s="44" t="s">
        <v>748</v>
      </c>
      <c r="F253" s="44" t="s">
        <v>793</v>
      </c>
      <c r="G253" s="44"/>
      <c r="H253" s="276">
        <v>258.61</v>
      </c>
    </row>
    <row r="254" spans="1:8" hidden="1" outlineLevel="2" x14ac:dyDescent="0.25">
      <c r="A254" s="44" t="s">
        <v>228</v>
      </c>
      <c r="B254" s="274">
        <v>44496</v>
      </c>
      <c r="C254" s="44" t="s">
        <v>1034</v>
      </c>
      <c r="D254" s="275">
        <v>300000103</v>
      </c>
      <c r="E254" s="44" t="s">
        <v>728</v>
      </c>
      <c r="F254" s="44" t="s">
        <v>794</v>
      </c>
      <c r="G254" s="44"/>
      <c r="H254" s="276">
        <v>11570.25</v>
      </c>
    </row>
    <row r="255" spans="1:8" hidden="1" outlineLevel="2" x14ac:dyDescent="0.25">
      <c r="A255" s="44" t="s">
        <v>228</v>
      </c>
      <c r="B255" s="274">
        <v>44500</v>
      </c>
      <c r="C255" s="44" t="s">
        <v>1034</v>
      </c>
      <c r="D255" s="275">
        <v>60000298248</v>
      </c>
      <c r="E255" s="44" t="s">
        <v>718</v>
      </c>
      <c r="F255" s="44" t="s">
        <v>717</v>
      </c>
      <c r="G255" s="44"/>
      <c r="H255" s="276">
        <v>3067.3</v>
      </c>
    </row>
    <row r="256" spans="1:8" outlineLevel="1" collapsed="1" x14ac:dyDescent="0.25">
      <c r="A256" s="282" t="s">
        <v>649</v>
      </c>
      <c r="B256" s="741"/>
      <c r="C256" s="742"/>
      <c r="D256" s="742"/>
      <c r="E256" s="742"/>
      <c r="F256" s="742"/>
      <c r="G256" s="743"/>
      <c r="H256" s="285">
        <f>SUBTOTAL(9,H240:H255)</f>
        <v>55852.159999999996</v>
      </c>
    </row>
    <row r="257" spans="1:8" hidden="1" outlineLevel="2" x14ac:dyDescent="0.25">
      <c r="A257" s="44" t="s">
        <v>231</v>
      </c>
      <c r="B257" s="274">
        <v>44470</v>
      </c>
      <c r="C257" s="44" t="s">
        <v>1034</v>
      </c>
      <c r="D257" s="275">
        <v>10400520948</v>
      </c>
      <c r="E257" s="44" t="s">
        <v>716</v>
      </c>
      <c r="F257" s="44" t="s">
        <v>717</v>
      </c>
      <c r="G257" s="44"/>
      <c r="H257" s="276">
        <v>545.45000000000005</v>
      </c>
    </row>
    <row r="258" spans="1:8" hidden="1" outlineLevel="2" x14ac:dyDescent="0.25">
      <c r="A258" s="44" t="s">
        <v>231</v>
      </c>
      <c r="B258" s="274">
        <v>44470</v>
      </c>
      <c r="C258" s="44" t="s">
        <v>1034</v>
      </c>
      <c r="D258" s="275">
        <v>10400560760</v>
      </c>
      <c r="E258" s="44" t="s">
        <v>716</v>
      </c>
      <c r="F258" s="44" t="s">
        <v>717</v>
      </c>
      <c r="G258" s="44"/>
      <c r="H258" s="276">
        <v>2954.55</v>
      </c>
    </row>
    <row r="259" spans="1:8" hidden="1" outlineLevel="2" x14ac:dyDescent="0.25">
      <c r="A259" s="44" t="s">
        <v>231</v>
      </c>
      <c r="B259" s="274">
        <v>44470</v>
      </c>
      <c r="C259" s="44" t="s">
        <v>1034</v>
      </c>
      <c r="D259" s="275">
        <v>60000274229</v>
      </c>
      <c r="E259" s="44" t="s">
        <v>718</v>
      </c>
      <c r="F259" s="44" t="s">
        <v>717</v>
      </c>
      <c r="G259" s="44"/>
      <c r="H259" s="276">
        <v>1707.65</v>
      </c>
    </row>
    <row r="260" spans="1:8" ht="30" hidden="1" outlineLevel="2" x14ac:dyDescent="0.25">
      <c r="A260" s="44" t="s">
        <v>231</v>
      </c>
      <c r="B260" s="274">
        <v>44470</v>
      </c>
      <c r="C260" s="44" t="s">
        <v>1034</v>
      </c>
      <c r="D260" s="275">
        <v>62902669209</v>
      </c>
      <c r="E260" s="44" t="s">
        <v>719</v>
      </c>
      <c r="F260" s="44" t="s">
        <v>717</v>
      </c>
      <c r="G260" s="44"/>
      <c r="H260" s="276">
        <v>214.54</v>
      </c>
    </row>
    <row r="261" spans="1:8" hidden="1" outlineLevel="2" x14ac:dyDescent="0.25">
      <c r="A261" s="44" t="s">
        <v>231</v>
      </c>
      <c r="B261" s="274">
        <v>44470</v>
      </c>
      <c r="C261" s="44" t="s">
        <v>1034</v>
      </c>
      <c r="D261" s="275">
        <v>65100019280</v>
      </c>
      <c r="E261" s="44" t="s">
        <v>720</v>
      </c>
      <c r="F261" s="44" t="s">
        <v>721</v>
      </c>
      <c r="G261" s="44"/>
      <c r="H261" s="276">
        <v>1922</v>
      </c>
    </row>
    <row r="262" spans="1:8" hidden="1" outlineLevel="2" x14ac:dyDescent="0.25">
      <c r="A262" s="44" t="s">
        <v>231</v>
      </c>
      <c r="B262" s="274">
        <v>44470</v>
      </c>
      <c r="C262" s="44" t="s">
        <v>1034</v>
      </c>
      <c r="D262" s="275">
        <v>65100019280</v>
      </c>
      <c r="E262" s="44" t="s">
        <v>720</v>
      </c>
      <c r="F262" s="44" t="s">
        <v>722</v>
      </c>
      <c r="G262" s="44"/>
      <c r="H262" s="276">
        <v>272</v>
      </c>
    </row>
    <row r="263" spans="1:8" ht="30" hidden="1" outlineLevel="2" x14ac:dyDescent="0.25">
      <c r="A263" s="44" t="s">
        <v>231</v>
      </c>
      <c r="B263" s="274">
        <v>44473</v>
      </c>
      <c r="C263" s="44" t="s">
        <v>1034</v>
      </c>
      <c r="D263" s="275">
        <v>6100301594</v>
      </c>
      <c r="E263" s="44" t="s">
        <v>730</v>
      </c>
      <c r="F263" s="44" t="s">
        <v>717</v>
      </c>
      <c r="G263" s="44"/>
      <c r="H263" s="276">
        <v>686</v>
      </c>
    </row>
    <row r="264" spans="1:8" hidden="1" outlineLevel="2" x14ac:dyDescent="0.25">
      <c r="A264" s="44" t="s">
        <v>231</v>
      </c>
      <c r="B264" s="274">
        <v>44476</v>
      </c>
      <c r="C264" s="44" t="s">
        <v>1034</v>
      </c>
      <c r="D264" s="275">
        <v>51100006984</v>
      </c>
      <c r="E264" s="44" t="s">
        <v>795</v>
      </c>
      <c r="F264" s="44" t="s">
        <v>796</v>
      </c>
      <c r="G264" s="44"/>
      <c r="H264" s="276">
        <v>341.64</v>
      </c>
    </row>
    <row r="265" spans="1:8" hidden="1" outlineLevel="2" x14ac:dyDescent="0.25">
      <c r="A265" s="44" t="s">
        <v>231</v>
      </c>
      <c r="B265" s="274">
        <v>44476</v>
      </c>
      <c r="C265" s="44" t="s">
        <v>1034</v>
      </c>
      <c r="D265" s="275">
        <v>51100006984</v>
      </c>
      <c r="E265" s="44" t="s">
        <v>795</v>
      </c>
      <c r="F265" s="44" t="s">
        <v>797</v>
      </c>
      <c r="G265" s="44"/>
      <c r="H265" s="276">
        <v>10016.19</v>
      </c>
    </row>
    <row r="266" spans="1:8" hidden="1" outlineLevel="2" x14ac:dyDescent="0.25">
      <c r="A266" s="44" t="s">
        <v>231</v>
      </c>
      <c r="B266" s="274">
        <v>44476</v>
      </c>
      <c r="C266" s="44" t="s">
        <v>1034</v>
      </c>
      <c r="D266" s="275">
        <v>51100006984</v>
      </c>
      <c r="E266" s="44" t="s">
        <v>795</v>
      </c>
      <c r="F266" s="44" t="s">
        <v>798</v>
      </c>
      <c r="G266" s="44"/>
      <c r="H266" s="276">
        <v>482.84</v>
      </c>
    </row>
    <row r="267" spans="1:8" hidden="1" outlineLevel="2" x14ac:dyDescent="0.25">
      <c r="A267" s="44" t="s">
        <v>231</v>
      </c>
      <c r="B267" s="274">
        <v>44476</v>
      </c>
      <c r="C267" s="44" t="s">
        <v>1034</v>
      </c>
      <c r="D267" s="275">
        <v>51100006984</v>
      </c>
      <c r="E267" s="44" t="s">
        <v>795</v>
      </c>
      <c r="F267" s="44" t="s">
        <v>799</v>
      </c>
      <c r="G267" s="44"/>
      <c r="H267" s="276">
        <v>2410.2399999999998</v>
      </c>
    </row>
    <row r="268" spans="1:8" hidden="1" outlineLevel="2" x14ac:dyDescent="0.25">
      <c r="A268" s="44" t="s">
        <v>231</v>
      </c>
      <c r="B268" s="274">
        <v>44487</v>
      </c>
      <c r="C268" s="44" t="s">
        <v>1034</v>
      </c>
      <c r="D268" s="275">
        <v>500000703</v>
      </c>
      <c r="E268" s="44" t="s">
        <v>800</v>
      </c>
      <c r="F268" s="44" t="s">
        <v>801</v>
      </c>
      <c r="G268" s="44"/>
      <c r="H268" s="276">
        <v>20661.16</v>
      </c>
    </row>
    <row r="269" spans="1:8" hidden="1" outlineLevel="2" x14ac:dyDescent="0.25">
      <c r="A269" s="44" t="s">
        <v>231</v>
      </c>
      <c r="B269" s="274">
        <v>44491</v>
      </c>
      <c r="C269" s="44" t="s">
        <v>1034</v>
      </c>
      <c r="D269" s="275">
        <v>10400638511</v>
      </c>
      <c r="E269" s="44" t="s">
        <v>716</v>
      </c>
      <c r="F269" s="44" t="s">
        <v>717</v>
      </c>
      <c r="G269" s="44"/>
      <c r="H269" s="276">
        <v>400.83</v>
      </c>
    </row>
    <row r="270" spans="1:8" hidden="1" outlineLevel="2" x14ac:dyDescent="0.25">
      <c r="A270" s="44" t="s">
        <v>231</v>
      </c>
      <c r="B270" s="274">
        <v>44491</v>
      </c>
      <c r="C270" s="44" t="s">
        <v>1034</v>
      </c>
      <c r="D270" s="275">
        <v>10400676781</v>
      </c>
      <c r="E270" s="44" t="s">
        <v>716</v>
      </c>
      <c r="F270" s="44" t="s">
        <v>717</v>
      </c>
      <c r="G270" s="44"/>
      <c r="H270" s="276">
        <v>381.82</v>
      </c>
    </row>
    <row r="271" spans="1:8" hidden="1" outlineLevel="2" x14ac:dyDescent="0.25">
      <c r="A271" s="44" t="s">
        <v>231</v>
      </c>
      <c r="B271" s="274">
        <v>44491</v>
      </c>
      <c r="C271" s="44" t="s">
        <v>1034</v>
      </c>
      <c r="D271" s="275">
        <v>10400754323</v>
      </c>
      <c r="E271" s="44" t="s">
        <v>716</v>
      </c>
      <c r="F271" s="44" t="s">
        <v>717</v>
      </c>
      <c r="G271" s="44"/>
      <c r="H271" s="276">
        <v>1847.11</v>
      </c>
    </row>
    <row r="272" spans="1:8" hidden="1" outlineLevel="2" x14ac:dyDescent="0.25">
      <c r="A272" s="44" t="s">
        <v>231</v>
      </c>
      <c r="B272" s="274">
        <v>44496</v>
      </c>
      <c r="C272" s="44" t="s">
        <v>1034</v>
      </c>
      <c r="D272" s="275">
        <v>65100019922</v>
      </c>
      <c r="E272" s="44" t="s">
        <v>720</v>
      </c>
      <c r="F272" s="44" t="s">
        <v>726</v>
      </c>
      <c r="G272" s="44"/>
      <c r="H272" s="276">
        <v>1922</v>
      </c>
    </row>
    <row r="273" spans="1:8" hidden="1" outlineLevel="2" x14ac:dyDescent="0.25">
      <c r="A273" s="44" t="s">
        <v>231</v>
      </c>
      <c r="B273" s="274">
        <v>44496</v>
      </c>
      <c r="C273" s="44" t="s">
        <v>1034</v>
      </c>
      <c r="D273" s="275">
        <v>65100019922</v>
      </c>
      <c r="E273" s="44" t="s">
        <v>720</v>
      </c>
      <c r="F273" s="44" t="s">
        <v>727</v>
      </c>
      <c r="G273" s="44"/>
      <c r="H273" s="276">
        <v>272</v>
      </c>
    </row>
    <row r="274" spans="1:8" ht="30" hidden="1" outlineLevel="2" x14ac:dyDescent="0.25">
      <c r="A274" s="44" t="s">
        <v>231</v>
      </c>
      <c r="B274" s="274">
        <v>44483</v>
      </c>
      <c r="C274" s="44" t="s">
        <v>1036</v>
      </c>
      <c r="D274" s="275">
        <v>100004948</v>
      </c>
      <c r="E274" s="44" t="s">
        <v>989</v>
      </c>
      <c r="F274" s="44" t="s">
        <v>953</v>
      </c>
      <c r="G274" s="44" t="s">
        <v>995</v>
      </c>
      <c r="H274" s="269">
        <v>600</v>
      </c>
    </row>
    <row r="275" spans="1:8" hidden="1" outlineLevel="2" x14ac:dyDescent="0.25">
      <c r="A275" s="44" t="s">
        <v>231</v>
      </c>
      <c r="B275" s="274">
        <v>44483</v>
      </c>
      <c r="C275" s="44" t="s">
        <v>1036</v>
      </c>
      <c r="D275" s="275">
        <v>100004948</v>
      </c>
      <c r="E275" s="44" t="s">
        <v>716</v>
      </c>
      <c r="F275" s="44" t="s">
        <v>717</v>
      </c>
      <c r="G275" s="44" t="s">
        <v>995</v>
      </c>
      <c r="H275" s="269">
        <v>714.87519999999995</v>
      </c>
    </row>
    <row r="276" spans="1:8" ht="30" hidden="1" outlineLevel="2" x14ac:dyDescent="0.25">
      <c r="A276" s="44" t="s">
        <v>231</v>
      </c>
      <c r="B276" s="274">
        <v>44483</v>
      </c>
      <c r="C276" s="44" t="s">
        <v>1036</v>
      </c>
      <c r="D276" s="275">
        <v>100004948</v>
      </c>
      <c r="E276" s="44" t="s">
        <v>915</v>
      </c>
      <c r="F276" s="44" t="s">
        <v>717</v>
      </c>
      <c r="G276" s="44" t="s">
        <v>995</v>
      </c>
      <c r="H276" s="269">
        <v>1539.6693</v>
      </c>
    </row>
    <row r="277" spans="1:8" hidden="1" outlineLevel="2" x14ac:dyDescent="0.25">
      <c r="A277" s="44" t="s">
        <v>231</v>
      </c>
      <c r="B277" s="274">
        <v>44483</v>
      </c>
      <c r="C277" s="44" t="s">
        <v>1036</v>
      </c>
      <c r="D277" s="275">
        <v>100004948</v>
      </c>
      <c r="E277" s="44" t="s">
        <v>996</v>
      </c>
      <c r="F277" s="44" t="s">
        <v>917</v>
      </c>
      <c r="G277" s="44" t="s">
        <v>995</v>
      </c>
      <c r="H277" s="269">
        <v>610</v>
      </c>
    </row>
    <row r="278" spans="1:8" hidden="1" outlineLevel="2" x14ac:dyDescent="0.25">
      <c r="A278" s="44" t="s">
        <v>231</v>
      </c>
      <c r="B278" s="274">
        <v>44490</v>
      </c>
      <c r="C278" s="44" t="s">
        <v>1036</v>
      </c>
      <c r="D278" s="275">
        <v>100004963</v>
      </c>
      <c r="E278" s="44" t="s">
        <v>716</v>
      </c>
      <c r="F278" s="44" t="s">
        <v>717</v>
      </c>
      <c r="G278" s="44" t="s">
        <v>995</v>
      </c>
      <c r="H278" s="269">
        <v>842.97524999999996</v>
      </c>
    </row>
    <row r="279" spans="1:8" ht="30" hidden="1" outlineLevel="2" x14ac:dyDescent="0.25">
      <c r="A279" s="44" t="s">
        <v>231</v>
      </c>
      <c r="B279" s="274">
        <v>44490</v>
      </c>
      <c r="C279" s="44" t="s">
        <v>1036</v>
      </c>
      <c r="D279" s="275">
        <v>100004963</v>
      </c>
      <c r="E279" s="44" t="s">
        <v>915</v>
      </c>
      <c r="F279" s="44" t="s">
        <v>717</v>
      </c>
      <c r="G279" s="44" t="s">
        <v>995</v>
      </c>
      <c r="H279" s="269">
        <v>2046.2811999999999</v>
      </c>
    </row>
    <row r="280" spans="1:8" ht="30" hidden="1" outlineLevel="2" x14ac:dyDescent="0.25">
      <c r="A280" s="44" t="s">
        <v>231</v>
      </c>
      <c r="B280" s="274">
        <v>44490</v>
      </c>
      <c r="C280" s="44" t="s">
        <v>1036</v>
      </c>
      <c r="D280" s="275">
        <v>100004963</v>
      </c>
      <c r="E280" s="44" t="s">
        <v>988</v>
      </c>
      <c r="F280" s="44" t="s">
        <v>953</v>
      </c>
      <c r="G280" s="44" t="s">
        <v>995</v>
      </c>
      <c r="H280" s="269">
        <v>520</v>
      </c>
    </row>
    <row r="281" spans="1:8" outlineLevel="1" collapsed="1" x14ac:dyDescent="0.25">
      <c r="A281" s="282" t="s">
        <v>650</v>
      </c>
      <c r="B281" s="741"/>
      <c r="C281" s="742"/>
      <c r="D281" s="742"/>
      <c r="E281" s="742"/>
      <c r="F281" s="742"/>
      <c r="G281" s="743"/>
      <c r="H281" s="285">
        <f>SUBTOTAL(9,H257:H280)</f>
        <v>53911.820950000001</v>
      </c>
    </row>
    <row r="282" spans="1:8" hidden="1" outlineLevel="2" x14ac:dyDescent="0.25">
      <c r="A282" s="44" t="s">
        <v>245</v>
      </c>
      <c r="B282" s="274">
        <v>44470</v>
      </c>
      <c r="C282" s="44" t="s">
        <v>1034</v>
      </c>
      <c r="D282" s="275">
        <v>500033638</v>
      </c>
      <c r="E282" s="44" t="s">
        <v>713</v>
      </c>
      <c r="F282" s="44" t="s">
        <v>714</v>
      </c>
      <c r="G282" s="44"/>
      <c r="H282" s="276">
        <v>1791.53</v>
      </c>
    </row>
    <row r="283" spans="1:8" hidden="1" outlineLevel="2" x14ac:dyDescent="0.25">
      <c r="A283" s="44" t="s">
        <v>245</v>
      </c>
      <c r="B283" s="274">
        <v>44470</v>
      </c>
      <c r="C283" s="44" t="s">
        <v>1034</v>
      </c>
      <c r="D283" s="275">
        <v>10400578195</v>
      </c>
      <c r="E283" s="44" t="s">
        <v>716</v>
      </c>
      <c r="F283" s="44" t="s">
        <v>717</v>
      </c>
      <c r="G283" s="44"/>
      <c r="H283" s="276">
        <v>1277.8</v>
      </c>
    </row>
    <row r="284" spans="1:8" hidden="1" outlineLevel="2" x14ac:dyDescent="0.25">
      <c r="A284" s="44" t="s">
        <v>245</v>
      </c>
      <c r="B284" s="274">
        <v>44470</v>
      </c>
      <c r="C284" s="44" t="s">
        <v>1034</v>
      </c>
      <c r="D284" s="275">
        <v>60000274229</v>
      </c>
      <c r="E284" s="44" t="s">
        <v>718</v>
      </c>
      <c r="F284" s="44" t="s">
        <v>717</v>
      </c>
      <c r="G284" s="44"/>
      <c r="H284" s="276">
        <v>901.51</v>
      </c>
    </row>
    <row r="285" spans="1:8" hidden="1" outlineLevel="2" x14ac:dyDescent="0.25">
      <c r="A285" s="44" t="s">
        <v>245</v>
      </c>
      <c r="B285" s="274">
        <v>44470</v>
      </c>
      <c r="C285" s="44" t="s">
        <v>1034</v>
      </c>
      <c r="D285" s="275">
        <v>60000285996</v>
      </c>
      <c r="E285" s="44" t="s">
        <v>718</v>
      </c>
      <c r="F285" s="44" t="s">
        <v>717</v>
      </c>
      <c r="G285" s="44"/>
      <c r="H285" s="276">
        <v>1750.05</v>
      </c>
    </row>
    <row r="286" spans="1:8" hidden="1" outlineLevel="2" x14ac:dyDescent="0.25">
      <c r="A286" s="44" t="s">
        <v>245</v>
      </c>
      <c r="B286" s="274">
        <v>44489</v>
      </c>
      <c r="C286" s="44" t="s">
        <v>1034</v>
      </c>
      <c r="D286" s="275">
        <v>50300370602</v>
      </c>
      <c r="E286" s="44" t="s">
        <v>741</v>
      </c>
      <c r="F286" s="44" t="s">
        <v>717</v>
      </c>
      <c r="G286" s="44"/>
      <c r="H286" s="276">
        <v>432.73</v>
      </c>
    </row>
    <row r="287" spans="1:8" hidden="1" outlineLevel="2" x14ac:dyDescent="0.25">
      <c r="A287" s="44" t="s">
        <v>245</v>
      </c>
      <c r="B287" s="274">
        <v>44491</v>
      </c>
      <c r="C287" s="44" t="s">
        <v>1034</v>
      </c>
      <c r="D287" s="275">
        <v>10400676781</v>
      </c>
      <c r="E287" s="44" t="s">
        <v>716</v>
      </c>
      <c r="F287" s="44" t="s">
        <v>717</v>
      </c>
      <c r="G287" s="44"/>
      <c r="H287" s="276">
        <v>421.49</v>
      </c>
    </row>
    <row r="288" spans="1:8" hidden="1" outlineLevel="2" x14ac:dyDescent="0.25">
      <c r="A288" s="44" t="s">
        <v>245</v>
      </c>
      <c r="B288" s="274">
        <v>44491</v>
      </c>
      <c r="C288" s="44" t="s">
        <v>1034</v>
      </c>
      <c r="D288" s="275">
        <v>10400701977</v>
      </c>
      <c r="E288" s="44" t="s">
        <v>716</v>
      </c>
      <c r="F288" s="44" t="s">
        <v>717</v>
      </c>
      <c r="G288" s="44"/>
      <c r="H288" s="276">
        <v>915.7</v>
      </c>
    </row>
    <row r="289" spans="1:8" hidden="1" outlineLevel="2" x14ac:dyDescent="0.25">
      <c r="A289" s="44" t="s">
        <v>245</v>
      </c>
      <c r="B289" s="274">
        <v>44499</v>
      </c>
      <c r="C289" s="44" t="s">
        <v>1034</v>
      </c>
      <c r="D289" s="275">
        <v>300001911</v>
      </c>
      <c r="E289" s="44" t="s">
        <v>802</v>
      </c>
      <c r="F289" s="44" t="s">
        <v>803</v>
      </c>
      <c r="G289" s="44"/>
      <c r="H289" s="276">
        <v>11031.14</v>
      </c>
    </row>
    <row r="290" spans="1:8" hidden="1" outlineLevel="2" x14ac:dyDescent="0.25">
      <c r="A290" s="44" t="s">
        <v>245</v>
      </c>
      <c r="B290" s="274">
        <v>44500</v>
      </c>
      <c r="C290" s="44" t="s">
        <v>1034</v>
      </c>
      <c r="D290" s="275">
        <v>60000298248</v>
      </c>
      <c r="E290" s="44" t="s">
        <v>718</v>
      </c>
      <c r="F290" s="44" t="s">
        <v>717</v>
      </c>
      <c r="G290" s="44"/>
      <c r="H290" s="276">
        <v>3522.1</v>
      </c>
    </row>
    <row r="291" spans="1:8" hidden="1" outlineLevel="2" x14ac:dyDescent="0.25">
      <c r="A291" s="278" t="s">
        <v>245</v>
      </c>
      <c r="B291" s="279">
        <v>44474</v>
      </c>
      <c r="C291" s="278" t="s">
        <v>1033</v>
      </c>
      <c r="D291" s="275">
        <v>7653</v>
      </c>
      <c r="E291" s="278" t="s">
        <v>841</v>
      </c>
      <c r="F291" s="278" t="s">
        <v>842</v>
      </c>
      <c r="G291" s="278"/>
      <c r="H291" s="269">
        <v>650</v>
      </c>
    </row>
    <row r="292" spans="1:8" hidden="1" outlineLevel="2" x14ac:dyDescent="0.25">
      <c r="A292" s="44" t="s">
        <v>245</v>
      </c>
      <c r="B292" s="274">
        <v>44476</v>
      </c>
      <c r="C292" s="44" t="s">
        <v>1036</v>
      </c>
      <c r="D292" s="275">
        <v>100004938</v>
      </c>
      <c r="E292" s="44" t="s">
        <v>938</v>
      </c>
      <c r="F292" s="44" t="s">
        <v>938</v>
      </c>
      <c r="G292" s="44"/>
      <c r="H292" s="269">
        <v>250</v>
      </c>
    </row>
    <row r="293" spans="1:8" outlineLevel="1" collapsed="1" x14ac:dyDescent="0.25">
      <c r="A293" s="282" t="s">
        <v>651</v>
      </c>
      <c r="B293" s="741"/>
      <c r="C293" s="742"/>
      <c r="D293" s="742"/>
      <c r="E293" s="742"/>
      <c r="F293" s="742"/>
      <c r="G293" s="743"/>
      <c r="H293" s="285">
        <f>SUBTOTAL(9,H282:H292)</f>
        <v>22944.05</v>
      </c>
    </row>
    <row r="294" spans="1:8" hidden="1" outlineLevel="2" x14ac:dyDescent="0.25">
      <c r="A294" s="44" t="s">
        <v>423</v>
      </c>
      <c r="B294" s="274">
        <v>44470</v>
      </c>
      <c r="C294" s="44" t="s">
        <v>1034</v>
      </c>
      <c r="D294" s="275">
        <v>500033638</v>
      </c>
      <c r="E294" s="44" t="s">
        <v>713</v>
      </c>
      <c r="F294" s="44" t="s">
        <v>714</v>
      </c>
      <c r="G294" s="44"/>
      <c r="H294" s="276">
        <v>1791.53</v>
      </c>
    </row>
    <row r="295" spans="1:8" hidden="1" outlineLevel="2" x14ac:dyDescent="0.25">
      <c r="A295" s="44" t="s">
        <v>423</v>
      </c>
      <c r="B295" s="274">
        <v>44470</v>
      </c>
      <c r="C295" s="44" t="s">
        <v>1034</v>
      </c>
      <c r="D295" s="275">
        <v>10400520948</v>
      </c>
      <c r="E295" s="44" t="s">
        <v>716</v>
      </c>
      <c r="F295" s="44" t="s">
        <v>717</v>
      </c>
      <c r="G295" s="44"/>
      <c r="H295" s="276">
        <v>247.94</v>
      </c>
    </row>
    <row r="296" spans="1:8" hidden="1" outlineLevel="2" x14ac:dyDescent="0.25">
      <c r="A296" s="44" t="s">
        <v>423</v>
      </c>
      <c r="B296" s="274">
        <v>44470</v>
      </c>
      <c r="C296" s="44" t="s">
        <v>1034</v>
      </c>
      <c r="D296" s="275">
        <v>10400560760</v>
      </c>
      <c r="E296" s="44" t="s">
        <v>716</v>
      </c>
      <c r="F296" s="44" t="s">
        <v>717</v>
      </c>
      <c r="G296" s="44"/>
      <c r="H296" s="276">
        <v>262.81</v>
      </c>
    </row>
    <row r="297" spans="1:8" hidden="1" outlineLevel="2" x14ac:dyDescent="0.25">
      <c r="A297" s="44" t="s">
        <v>423</v>
      </c>
      <c r="B297" s="274">
        <v>44470</v>
      </c>
      <c r="C297" s="44" t="s">
        <v>1034</v>
      </c>
      <c r="D297" s="275">
        <v>10400572393</v>
      </c>
      <c r="E297" s="44" t="s">
        <v>716</v>
      </c>
      <c r="F297" s="44" t="s">
        <v>717</v>
      </c>
      <c r="G297" s="44"/>
      <c r="H297" s="276">
        <v>342.98</v>
      </c>
    </row>
    <row r="298" spans="1:8" hidden="1" outlineLevel="2" x14ac:dyDescent="0.25">
      <c r="A298" s="44" t="s">
        <v>423</v>
      </c>
      <c r="B298" s="274">
        <v>44470</v>
      </c>
      <c r="C298" s="44" t="s">
        <v>1034</v>
      </c>
      <c r="D298" s="275">
        <v>60000285996</v>
      </c>
      <c r="E298" s="44" t="s">
        <v>718</v>
      </c>
      <c r="F298" s="44" t="s">
        <v>717</v>
      </c>
      <c r="G298" s="44"/>
      <c r="H298" s="276">
        <v>649.47</v>
      </c>
    </row>
    <row r="299" spans="1:8" hidden="1" outlineLevel="2" x14ac:dyDescent="0.25">
      <c r="A299" s="44" t="s">
        <v>423</v>
      </c>
      <c r="B299" s="274">
        <v>44475</v>
      </c>
      <c r="C299" s="44" t="s">
        <v>1034</v>
      </c>
      <c r="D299" s="275">
        <v>400035206</v>
      </c>
      <c r="E299" s="44" t="s">
        <v>780</v>
      </c>
      <c r="F299" s="44" t="s">
        <v>804</v>
      </c>
      <c r="G299" s="44"/>
      <c r="H299" s="276">
        <v>60401</v>
      </c>
    </row>
    <row r="300" spans="1:8" hidden="1" outlineLevel="2" x14ac:dyDescent="0.25">
      <c r="A300" s="44" t="s">
        <v>423</v>
      </c>
      <c r="B300" s="274">
        <v>44497</v>
      </c>
      <c r="C300" s="44" t="s">
        <v>1034</v>
      </c>
      <c r="D300" s="275">
        <v>400035573</v>
      </c>
      <c r="E300" s="44" t="s">
        <v>780</v>
      </c>
      <c r="F300" s="44" t="s">
        <v>805</v>
      </c>
      <c r="G300" s="44"/>
      <c r="H300" s="276">
        <v>7035</v>
      </c>
    </row>
    <row r="301" spans="1:8" hidden="1" outlineLevel="2" x14ac:dyDescent="0.25">
      <c r="A301" s="44" t="s">
        <v>423</v>
      </c>
      <c r="B301" s="274">
        <v>44483</v>
      </c>
      <c r="C301" s="44" t="s">
        <v>1035</v>
      </c>
      <c r="D301" s="275">
        <v>400005623</v>
      </c>
      <c r="E301" s="44" t="s">
        <v>780</v>
      </c>
      <c r="F301" s="44" t="s">
        <v>839</v>
      </c>
      <c r="G301" s="44"/>
      <c r="H301" s="276">
        <v>-4228.07</v>
      </c>
    </row>
    <row r="302" spans="1:8" outlineLevel="1" collapsed="1" x14ac:dyDescent="0.25">
      <c r="A302" s="292" t="s">
        <v>1075</v>
      </c>
      <c r="B302" s="752"/>
      <c r="C302" s="753"/>
      <c r="D302" s="753"/>
      <c r="E302" s="753"/>
      <c r="F302" s="753"/>
      <c r="G302" s="754"/>
      <c r="H302" s="293">
        <f>SUBTOTAL(9,H294:H301)</f>
        <v>66502.66</v>
      </c>
    </row>
    <row r="303" spans="1:8" hidden="1" outlineLevel="2" x14ac:dyDescent="0.25">
      <c r="A303" s="44" t="s">
        <v>269</v>
      </c>
      <c r="B303" s="274">
        <v>44470</v>
      </c>
      <c r="C303" s="44" t="s">
        <v>1034</v>
      </c>
      <c r="D303" s="275">
        <v>500033638</v>
      </c>
      <c r="E303" s="44" t="s">
        <v>713</v>
      </c>
      <c r="F303" s="44" t="s">
        <v>714</v>
      </c>
      <c r="G303" s="44"/>
      <c r="H303" s="276">
        <v>1791.53</v>
      </c>
    </row>
    <row r="304" spans="1:8" hidden="1" outlineLevel="2" x14ac:dyDescent="0.25">
      <c r="A304" s="44" t="s">
        <v>269</v>
      </c>
      <c r="B304" s="274">
        <v>44470</v>
      </c>
      <c r="C304" s="44" t="s">
        <v>1034</v>
      </c>
      <c r="D304" s="275">
        <v>60000274229</v>
      </c>
      <c r="E304" s="44" t="s">
        <v>718</v>
      </c>
      <c r="F304" s="44" t="s">
        <v>717</v>
      </c>
      <c r="G304" s="44"/>
      <c r="H304" s="276">
        <v>8856.76</v>
      </c>
    </row>
    <row r="305" spans="1:8" hidden="1" outlineLevel="2" x14ac:dyDescent="0.25">
      <c r="A305" s="44" t="s">
        <v>269</v>
      </c>
      <c r="B305" s="274">
        <v>44470</v>
      </c>
      <c r="C305" s="44" t="s">
        <v>1034</v>
      </c>
      <c r="D305" s="275">
        <v>60000285996</v>
      </c>
      <c r="E305" s="44" t="s">
        <v>718</v>
      </c>
      <c r="F305" s="44" t="s">
        <v>717</v>
      </c>
      <c r="G305" s="44"/>
      <c r="H305" s="276">
        <v>5233.63</v>
      </c>
    </row>
    <row r="306" spans="1:8" ht="30" hidden="1" outlineLevel="2" x14ac:dyDescent="0.25">
      <c r="A306" s="44" t="s">
        <v>269</v>
      </c>
      <c r="B306" s="274">
        <v>44473</v>
      </c>
      <c r="C306" s="44" t="s">
        <v>1034</v>
      </c>
      <c r="D306" s="275">
        <v>6100301594</v>
      </c>
      <c r="E306" s="44" t="s">
        <v>730</v>
      </c>
      <c r="F306" s="44" t="s">
        <v>717</v>
      </c>
      <c r="G306" s="44"/>
      <c r="H306" s="276">
        <v>286</v>
      </c>
    </row>
    <row r="307" spans="1:8" hidden="1" outlineLevel="2" x14ac:dyDescent="0.25">
      <c r="A307" s="44" t="s">
        <v>269</v>
      </c>
      <c r="B307" s="274">
        <v>44474</v>
      </c>
      <c r="C307" s="44" t="s">
        <v>1034</v>
      </c>
      <c r="D307" s="275">
        <v>200000058</v>
      </c>
      <c r="E307" s="44" t="s">
        <v>733</v>
      </c>
      <c r="F307" s="44" t="s">
        <v>738</v>
      </c>
      <c r="G307" s="44"/>
      <c r="H307" s="276">
        <v>5000</v>
      </c>
    </row>
    <row r="308" spans="1:8" hidden="1" outlineLevel="2" x14ac:dyDescent="0.25">
      <c r="A308" s="44" t="s">
        <v>269</v>
      </c>
      <c r="B308" s="274">
        <v>44474</v>
      </c>
      <c r="C308" s="44" t="s">
        <v>1034</v>
      </c>
      <c r="D308" s="275">
        <v>200000058</v>
      </c>
      <c r="E308" s="44" t="s">
        <v>733</v>
      </c>
      <c r="F308" s="44" t="s">
        <v>806</v>
      </c>
      <c r="G308" s="44"/>
      <c r="H308" s="276">
        <v>5400</v>
      </c>
    </row>
    <row r="309" spans="1:8" hidden="1" outlineLevel="2" x14ac:dyDescent="0.25">
      <c r="A309" s="44" t="s">
        <v>269</v>
      </c>
      <c r="B309" s="274">
        <v>44474</v>
      </c>
      <c r="C309" s="44" t="s">
        <v>1034</v>
      </c>
      <c r="D309" s="275">
        <v>200000058</v>
      </c>
      <c r="E309" s="44" t="s">
        <v>733</v>
      </c>
      <c r="F309" s="44" t="s">
        <v>807</v>
      </c>
      <c r="G309" s="44"/>
      <c r="H309" s="276">
        <v>400</v>
      </c>
    </row>
    <row r="310" spans="1:8" hidden="1" outlineLevel="2" x14ac:dyDescent="0.25">
      <c r="A310" s="44" t="s">
        <v>269</v>
      </c>
      <c r="B310" s="274">
        <v>44474</v>
      </c>
      <c r="C310" s="44" t="s">
        <v>1034</v>
      </c>
      <c r="D310" s="275">
        <v>200000058</v>
      </c>
      <c r="E310" s="44" t="s">
        <v>733</v>
      </c>
      <c r="F310" s="44" t="s">
        <v>808</v>
      </c>
      <c r="G310" s="44"/>
      <c r="H310" s="276">
        <v>700</v>
      </c>
    </row>
    <row r="311" spans="1:8" hidden="1" outlineLevel="2" x14ac:dyDescent="0.25">
      <c r="A311" s="44" t="s">
        <v>269</v>
      </c>
      <c r="B311" s="274">
        <v>44491</v>
      </c>
      <c r="C311" s="44" t="s">
        <v>1034</v>
      </c>
      <c r="D311" s="275">
        <v>10400676781</v>
      </c>
      <c r="E311" s="44" t="s">
        <v>716</v>
      </c>
      <c r="F311" s="44" t="s">
        <v>717</v>
      </c>
      <c r="G311" s="44"/>
      <c r="H311" s="276">
        <v>1068.5999999999999</v>
      </c>
    </row>
    <row r="312" spans="1:8" hidden="1" outlineLevel="2" x14ac:dyDescent="0.25">
      <c r="A312" s="44" t="s">
        <v>269</v>
      </c>
      <c r="B312" s="274">
        <v>44491</v>
      </c>
      <c r="C312" s="44" t="s">
        <v>1034</v>
      </c>
      <c r="D312" s="275">
        <v>10400701977</v>
      </c>
      <c r="E312" s="44" t="s">
        <v>716</v>
      </c>
      <c r="F312" s="44" t="s">
        <v>717</v>
      </c>
      <c r="G312" s="44"/>
      <c r="H312" s="276">
        <v>915.7</v>
      </c>
    </row>
    <row r="313" spans="1:8" hidden="1" outlineLevel="2" x14ac:dyDescent="0.25">
      <c r="A313" s="44" t="s">
        <v>269</v>
      </c>
      <c r="B313" s="274">
        <v>44500</v>
      </c>
      <c r="C313" s="44" t="s">
        <v>1034</v>
      </c>
      <c r="D313" s="275">
        <v>60000298248</v>
      </c>
      <c r="E313" s="44" t="s">
        <v>718</v>
      </c>
      <c r="F313" s="44" t="s">
        <v>717</v>
      </c>
      <c r="G313" s="44"/>
      <c r="H313" s="276">
        <v>4960.6099999999997</v>
      </c>
    </row>
    <row r="314" spans="1:8" hidden="1" outlineLevel="2" x14ac:dyDescent="0.25">
      <c r="A314" s="44" t="s">
        <v>269</v>
      </c>
      <c r="B314" s="274">
        <v>44485</v>
      </c>
      <c r="C314" s="44" t="s">
        <v>1032</v>
      </c>
      <c r="D314" s="275">
        <v>6587</v>
      </c>
      <c r="E314" s="44" t="s">
        <v>846</v>
      </c>
      <c r="F314" s="44" t="s">
        <v>901</v>
      </c>
      <c r="G314" s="44" t="s">
        <v>897</v>
      </c>
      <c r="H314" s="276">
        <v>407</v>
      </c>
    </row>
    <row r="315" spans="1:8" hidden="1" outlineLevel="2" x14ac:dyDescent="0.25">
      <c r="A315" s="44" t="s">
        <v>269</v>
      </c>
      <c r="B315" s="274">
        <v>44485</v>
      </c>
      <c r="C315" s="44" t="s">
        <v>1032</v>
      </c>
      <c r="D315" s="275">
        <v>6587</v>
      </c>
      <c r="E315" s="44" t="s">
        <v>846</v>
      </c>
      <c r="F315" s="44" t="s">
        <v>890</v>
      </c>
      <c r="G315" s="44" t="s">
        <v>891</v>
      </c>
      <c r="H315" s="276">
        <v>918.38</v>
      </c>
    </row>
    <row r="316" spans="1:8" hidden="1" outlineLevel="2" x14ac:dyDescent="0.25">
      <c r="A316" s="44" t="s">
        <v>269</v>
      </c>
      <c r="B316" s="274">
        <v>44485</v>
      </c>
      <c r="C316" s="44" t="s">
        <v>1032</v>
      </c>
      <c r="D316" s="275">
        <v>6587</v>
      </c>
      <c r="E316" s="44" t="s">
        <v>846</v>
      </c>
      <c r="F316" s="44" t="s">
        <v>866</v>
      </c>
      <c r="G316" s="44" t="s">
        <v>854</v>
      </c>
      <c r="H316" s="276">
        <v>1032.03</v>
      </c>
    </row>
    <row r="317" spans="1:8" hidden="1" outlineLevel="2" x14ac:dyDescent="0.25">
      <c r="A317" s="44" t="s">
        <v>269</v>
      </c>
      <c r="B317" s="274">
        <v>44496</v>
      </c>
      <c r="C317" s="44" t="s">
        <v>1036</v>
      </c>
      <c r="D317" s="275">
        <v>100004983</v>
      </c>
      <c r="E317" s="44" t="s">
        <v>716</v>
      </c>
      <c r="F317" s="44" t="s">
        <v>717</v>
      </c>
      <c r="G317" s="44" t="s">
        <v>998</v>
      </c>
      <c r="H317" s="269">
        <v>545.45459700000004</v>
      </c>
    </row>
    <row r="318" spans="1:8" ht="30" hidden="1" outlineLevel="2" x14ac:dyDescent="0.25">
      <c r="A318" s="44" t="s">
        <v>269</v>
      </c>
      <c r="B318" s="274">
        <v>44496</v>
      </c>
      <c r="C318" s="44" t="s">
        <v>1036</v>
      </c>
      <c r="D318" s="275">
        <v>100004983</v>
      </c>
      <c r="E318" s="44" t="s">
        <v>999</v>
      </c>
      <c r="F318" s="44" t="s">
        <v>917</v>
      </c>
      <c r="G318" s="44" t="s">
        <v>998</v>
      </c>
      <c r="H318" s="269">
        <v>462.80989999999997</v>
      </c>
    </row>
    <row r="319" spans="1:8" ht="30" hidden="1" outlineLevel="2" x14ac:dyDescent="0.25">
      <c r="A319" s="44" t="s">
        <v>269</v>
      </c>
      <c r="B319" s="274">
        <v>44497</v>
      </c>
      <c r="C319" s="44" t="s">
        <v>1036</v>
      </c>
      <c r="D319" s="275">
        <v>100004984</v>
      </c>
      <c r="E319" s="44" t="s">
        <v>927</v>
      </c>
      <c r="F319" s="44" t="s">
        <v>928</v>
      </c>
      <c r="G319" s="44" t="s">
        <v>1000</v>
      </c>
      <c r="H319" s="269">
        <v>6171</v>
      </c>
    </row>
    <row r="320" spans="1:8" outlineLevel="1" collapsed="1" x14ac:dyDescent="0.25">
      <c r="A320" s="282" t="s">
        <v>652</v>
      </c>
      <c r="B320" s="741"/>
      <c r="C320" s="742"/>
      <c r="D320" s="742"/>
      <c r="E320" s="742"/>
      <c r="F320" s="742"/>
      <c r="G320" s="743"/>
      <c r="H320" s="285">
        <f>SUBTOTAL(9,H303:H319)</f>
        <v>44149.504497000002</v>
      </c>
    </row>
    <row r="321" spans="1:8" hidden="1" outlineLevel="2" x14ac:dyDescent="0.25">
      <c r="A321" s="44" t="s">
        <v>282</v>
      </c>
      <c r="B321" s="274">
        <v>44470</v>
      </c>
      <c r="C321" s="44" t="s">
        <v>1034</v>
      </c>
      <c r="D321" s="275">
        <v>10400560760</v>
      </c>
      <c r="E321" s="44" t="s">
        <v>716</v>
      </c>
      <c r="F321" s="44" t="s">
        <v>717</v>
      </c>
      <c r="G321" s="44"/>
      <c r="H321" s="276">
        <v>825.62</v>
      </c>
    </row>
    <row r="322" spans="1:8" hidden="1" outlineLevel="2" x14ac:dyDescent="0.25">
      <c r="A322" s="44" t="s">
        <v>282</v>
      </c>
      <c r="B322" s="274">
        <v>44470</v>
      </c>
      <c r="C322" s="44" t="s">
        <v>1034</v>
      </c>
      <c r="D322" s="275">
        <v>60000285996</v>
      </c>
      <c r="E322" s="44" t="s">
        <v>718</v>
      </c>
      <c r="F322" s="44" t="s">
        <v>717</v>
      </c>
      <c r="G322" s="44"/>
      <c r="H322" s="276">
        <v>467.65</v>
      </c>
    </row>
    <row r="323" spans="1:8" ht="30" hidden="1" outlineLevel="2" x14ac:dyDescent="0.25">
      <c r="A323" s="44" t="s">
        <v>282</v>
      </c>
      <c r="B323" s="274">
        <v>44470</v>
      </c>
      <c r="C323" s="44" t="s">
        <v>1034</v>
      </c>
      <c r="D323" s="275">
        <v>62902669209</v>
      </c>
      <c r="E323" s="44" t="s">
        <v>719</v>
      </c>
      <c r="F323" s="44" t="s">
        <v>717</v>
      </c>
      <c r="G323" s="44"/>
      <c r="H323" s="276">
        <v>676.85</v>
      </c>
    </row>
    <row r="324" spans="1:8" hidden="1" outlineLevel="2" x14ac:dyDescent="0.25">
      <c r="A324" s="44" t="s">
        <v>282</v>
      </c>
      <c r="B324" s="274">
        <v>44470</v>
      </c>
      <c r="C324" s="44" t="s">
        <v>1034</v>
      </c>
      <c r="D324" s="275">
        <v>65100019280</v>
      </c>
      <c r="E324" s="44" t="s">
        <v>720</v>
      </c>
      <c r="F324" s="44" t="s">
        <v>721</v>
      </c>
      <c r="G324" s="44"/>
      <c r="H324" s="276">
        <v>1922</v>
      </c>
    </row>
    <row r="325" spans="1:8" hidden="1" outlineLevel="2" x14ac:dyDescent="0.25">
      <c r="A325" s="44" t="s">
        <v>282</v>
      </c>
      <c r="B325" s="274">
        <v>44470</v>
      </c>
      <c r="C325" s="44" t="s">
        <v>1034</v>
      </c>
      <c r="D325" s="275">
        <v>65100019280</v>
      </c>
      <c r="E325" s="44" t="s">
        <v>720</v>
      </c>
      <c r="F325" s="44" t="s">
        <v>722</v>
      </c>
      <c r="G325" s="44"/>
      <c r="H325" s="276">
        <v>272</v>
      </c>
    </row>
    <row r="326" spans="1:8" hidden="1" outlineLevel="2" x14ac:dyDescent="0.25">
      <c r="A326" s="44" t="s">
        <v>282</v>
      </c>
      <c r="B326" s="274">
        <v>44470</v>
      </c>
      <c r="C326" s="44" t="s">
        <v>1034</v>
      </c>
      <c r="D326" s="275">
        <v>501300168825</v>
      </c>
      <c r="E326" s="44" t="s">
        <v>723</v>
      </c>
      <c r="F326" s="44" t="s">
        <v>717</v>
      </c>
      <c r="G326" s="44"/>
      <c r="H326" s="276">
        <v>391.46</v>
      </c>
    </row>
    <row r="327" spans="1:8" ht="30" hidden="1" outlineLevel="2" x14ac:dyDescent="0.25">
      <c r="A327" s="44" t="s">
        <v>282</v>
      </c>
      <c r="B327" s="274">
        <v>44473</v>
      </c>
      <c r="C327" s="44" t="s">
        <v>1034</v>
      </c>
      <c r="D327" s="275">
        <v>62902692645</v>
      </c>
      <c r="E327" s="44" t="s">
        <v>719</v>
      </c>
      <c r="F327" s="44" t="s">
        <v>717</v>
      </c>
      <c r="G327" s="44"/>
      <c r="H327" s="276">
        <v>107.27</v>
      </c>
    </row>
    <row r="328" spans="1:8" hidden="1" outlineLevel="2" x14ac:dyDescent="0.25">
      <c r="A328" s="44" t="s">
        <v>282</v>
      </c>
      <c r="B328" s="274">
        <v>44473</v>
      </c>
      <c r="C328" s="44" t="s">
        <v>1034</v>
      </c>
      <c r="D328" s="275">
        <v>501300176437</v>
      </c>
      <c r="E328" s="44" t="s">
        <v>723</v>
      </c>
      <c r="F328" s="44" t="s">
        <v>717</v>
      </c>
      <c r="G328" s="44"/>
      <c r="H328" s="276">
        <v>502.17</v>
      </c>
    </row>
    <row r="329" spans="1:8" hidden="1" outlineLevel="2" x14ac:dyDescent="0.25">
      <c r="A329" s="44" t="s">
        <v>282</v>
      </c>
      <c r="B329" s="274">
        <v>44474</v>
      </c>
      <c r="C329" s="44" t="s">
        <v>1034</v>
      </c>
      <c r="D329" s="275">
        <v>200003020</v>
      </c>
      <c r="E329" s="44" t="s">
        <v>758</v>
      </c>
      <c r="F329" s="44" t="s">
        <v>809</v>
      </c>
      <c r="G329" s="44"/>
      <c r="H329" s="276">
        <v>92500</v>
      </c>
    </row>
    <row r="330" spans="1:8" hidden="1" outlineLevel="2" x14ac:dyDescent="0.25">
      <c r="A330" s="44" t="s">
        <v>282</v>
      </c>
      <c r="B330" s="274">
        <v>44475</v>
      </c>
      <c r="C330" s="44" t="s">
        <v>1034</v>
      </c>
      <c r="D330" s="275">
        <v>2900045090</v>
      </c>
      <c r="E330" s="44" t="s">
        <v>810</v>
      </c>
      <c r="F330" s="44" t="s">
        <v>811</v>
      </c>
      <c r="G330" s="44"/>
      <c r="H330" s="276">
        <v>88794.02</v>
      </c>
    </row>
    <row r="331" spans="1:8" hidden="1" outlineLevel="2" x14ac:dyDescent="0.25">
      <c r="A331" s="44" t="s">
        <v>282</v>
      </c>
      <c r="B331" s="274">
        <v>44488</v>
      </c>
      <c r="C331" s="44" t="s">
        <v>1034</v>
      </c>
      <c r="D331" s="275">
        <v>1100008087</v>
      </c>
      <c r="E331" s="44" t="s">
        <v>812</v>
      </c>
      <c r="F331" s="44" t="s">
        <v>813</v>
      </c>
      <c r="G331" s="44"/>
      <c r="H331" s="276">
        <v>987.64</v>
      </c>
    </row>
    <row r="332" spans="1:8" hidden="1" outlineLevel="2" x14ac:dyDescent="0.25">
      <c r="A332" s="44" t="s">
        <v>282</v>
      </c>
      <c r="B332" s="274">
        <v>44488</v>
      </c>
      <c r="C332" s="44" t="s">
        <v>1034</v>
      </c>
      <c r="D332" s="275">
        <v>1100008087</v>
      </c>
      <c r="E332" s="44" t="s">
        <v>812</v>
      </c>
      <c r="F332" s="44" t="s">
        <v>814</v>
      </c>
      <c r="G332" s="44"/>
      <c r="H332" s="276">
        <v>2760.9</v>
      </c>
    </row>
    <row r="333" spans="1:8" hidden="1" outlineLevel="2" x14ac:dyDescent="0.25">
      <c r="A333" s="44" t="s">
        <v>282</v>
      </c>
      <c r="B333" s="274">
        <v>44491</v>
      </c>
      <c r="C333" s="44" t="s">
        <v>1034</v>
      </c>
      <c r="D333" s="275">
        <v>10400701977</v>
      </c>
      <c r="E333" s="44" t="s">
        <v>716</v>
      </c>
      <c r="F333" s="44" t="s">
        <v>717</v>
      </c>
      <c r="G333" s="44"/>
      <c r="H333" s="276">
        <v>262.81</v>
      </c>
    </row>
    <row r="334" spans="1:8" hidden="1" outlineLevel="2" x14ac:dyDescent="0.25">
      <c r="A334" s="44" t="s">
        <v>282</v>
      </c>
      <c r="B334" s="274">
        <v>44491</v>
      </c>
      <c r="C334" s="44" t="s">
        <v>1034</v>
      </c>
      <c r="D334" s="275">
        <v>10400754323</v>
      </c>
      <c r="E334" s="44" t="s">
        <v>716</v>
      </c>
      <c r="F334" s="44" t="s">
        <v>717</v>
      </c>
      <c r="G334" s="44"/>
      <c r="H334" s="276">
        <v>276.86</v>
      </c>
    </row>
    <row r="335" spans="1:8" hidden="1" outlineLevel="2" x14ac:dyDescent="0.25">
      <c r="A335" s="44" t="s">
        <v>282</v>
      </c>
      <c r="B335" s="274">
        <v>44494</v>
      </c>
      <c r="C335" s="44" t="s">
        <v>1034</v>
      </c>
      <c r="D335" s="275">
        <v>200007577</v>
      </c>
      <c r="E335" s="44" t="s">
        <v>815</v>
      </c>
      <c r="F335" s="44" t="s">
        <v>816</v>
      </c>
      <c r="G335" s="44"/>
      <c r="H335" s="276">
        <v>6942.15</v>
      </c>
    </row>
    <row r="336" spans="1:8" hidden="1" outlineLevel="2" x14ac:dyDescent="0.25">
      <c r="A336" s="44" t="s">
        <v>282</v>
      </c>
      <c r="B336" s="274">
        <v>44496</v>
      </c>
      <c r="C336" s="44" t="s">
        <v>1034</v>
      </c>
      <c r="D336" s="275">
        <v>300000103</v>
      </c>
      <c r="E336" s="44" t="s">
        <v>728</v>
      </c>
      <c r="F336" s="44" t="s">
        <v>817</v>
      </c>
      <c r="G336" s="44"/>
      <c r="H336" s="276">
        <v>11500</v>
      </c>
    </row>
    <row r="337" spans="1:8" hidden="1" outlineLevel="2" x14ac:dyDescent="0.25">
      <c r="A337" s="44" t="s">
        <v>282</v>
      </c>
      <c r="B337" s="274">
        <v>44496</v>
      </c>
      <c r="C337" s="44" t="s">
        <v>1034</v>
      </c>
      <c r="D337" s="275">
        <v>65100019922</v>
      </c>
      <c r="E337" s="44" t="s">
        <v>720</v>
      </c>
      <c r="F337" s="44" t="s">
        <v>726</v>
      </c>
      <c r="G337" s="44"/>
      <c r="H337" s="276">
        <v>1922</v>
      </c>
    </row>
    <row r="338" spans="1:8" hidden="1" outlineLevel="2" x14ac:dyDescent="0.25">
      <c r="A338" s="44" t="s">
        <v>282</v>
      </c>
      <c r="B338" s="274">
        <v>44496</v>
      </c>
      <c r="C338" s="44" t="s">
        <v>1034</v>
      </c>
      <c r="D338" s="275">
        <v>65100019922</v>
      </c>
      <c r="E338" s="44" t="s">
        <v>720</v>
      </c>
      <c r="F338" s="44" t="s">
        <v>727</v>
      </c>
      <c r="G338" s="44"/>
      <c r="H338" s="276">
        <v>272</v>
      </c>
    </row>
    <row r="339" spans="1:8" hidden="1" outlineLevel="2" x14ac:dyDescent="0.25">
      <c r="A339" s="44" t="s">
        <v>282</v>
      </c>
      <c r="B339" s="274">
        <v>44499</v>
      </c>
      <c r="C339" s="44" t="s">
        <v>1034</v>
      </c>
      <c r="D339" s="275">
        <v>200000805</v>
      </c>
      <c r="E339" s="44" t="s">
        <v>818</v>
      </c>
      <c r="F339" s="44" t="s">
        <v>819</v>
      </c>
      <c r="G339" s="44"/>
      <c r="H339" s="276">
        <v>31405</v>
      </c>
    </row>
    <row r="340" spans="1:8" hidden="1" outlineLevel="2" x14ac:dyDescent="0.25">
      <c r="A340" s="44" t="s">
        <v>282</v>
      </c>
      <c r="B340" s="274">
        <v>44491</v>
      </c>
      <c r="C340" s="44" t="s">
        <v>1032</v>
      </c>
      <c r="D340" s="275">
        <v>6623</v>
      </c>
      <c r="E340" s="44" t="s">
        <v>846</v>
      </c>
      <c r="F340" s="44" t="s">
        <v>213</v>
      </c>
      <c r="G340" s="44" t="s">
        <v>864</v>
      </c>
      <c r="H340" s="276">
        <v>84.02</v>
      </c>
    </row>
    <row r="341" spans="1:8" hidden="1" outlineLevel="2" x14ac:dyDescent="0.25">
      <c r="A341" s="44" t="s">
        <v>282</v>
      </c>
      <c r="B341" s="274">
        <v>44490</v>
      </c>
      <c r="C341" s="44" t="s">
        <v>1036</v>
      </c>
      <c r="D341" s="275">
        <v>100004968</v>
      </c>
      <c r="E341" s="44" t="s">
        <v>1001</v>
      </c>
      <c r="F341" s="44" t="s">
        <v>934</v>
      </c>
      <c r="G341" s="44" t="s">
        <v>918</v>
      </c>
      <c r="H341" s="269">
        <v>300</v>
      </c>
    </row>
    <row r="342" spans="1:8" hidden="1" outlineLevel="2" x14ac:dyDescent="0.25">
      <c r="A342" s="44" t="s">
        <v>282</v>
      </c>
      <c r="B342" s="274">
        <v>44498</v>
      </c>
      <c r="C342" s="44" t="s">
        <v>1036</v>
      </c>
      <c r="D342" s="275">
        <v>100004989</v>
      </c>
      <c r="E342" s="44" t="s">
        <v>716</v>
      </c>
      <c r="F342" s="44" t="s">
        <v>717</v>
      </c>
      <c r="G342" s="44" t="s">
        <v>1002</v>
      </c>
      <c r="H342" s="269">
        <v>528.92574999999999</v>
      </c>
    </row>
    <row r="343" spans="1:8" hidden="1" outlineLevel="2" x14ac:dyDescent="0.25">
      <c r="A343" s="44" t="s">
        <v>282</v>
      </c>
      <c r="B343" s="274">
        <v>44498</v>
      </c>
      <c r="C343" s="44" t="s">
        <v>1036</v>
      </c>
      <c r="D343" s="275">
        <v>100004989</v>
      </c>
      <c r="E343" s="44" t="s">
        <v>1003</v>
      </c>
      <c r="F343" s="44" t="s">
        <v>1004</v>
      </c>
      <c r="G343" s="44" t="s">
        <v>1002</v>
      </c>
      <c r="H343" s="269">
        <v>520</v>
      </c>
    </row>
    <row r="344" spans="1:8" ht="30" hidden="1" outlineLevel="2" x14ac:dyDescent="0.25">
      <c r="A344" s="44" t="s">
        <v>282</v>
      </c>
      <c r="B344" s="274">
        <v>44498</v>
      </c>
      <c r="C344" s="44" t="s">
        <v>1036</v>
      </c>
      <c r="D344" s="275">
        <v>100004989</v>
      </c>
      <c r="E344" s="44" t="s">
        <v>915</v>
      </c>
      <c r="F344" s="44" t="s">
        <v>717</v>
      </c>
      <c r="G344" s="44" t="s">
        <v>1002</v>
      </c>
      <c r="H344" s="269">
        <v>1426.4455</v>
      </c>
    </row>
    <row r="345" spans="1:8" hidden="1" outlineLevel="2" x14ac:dyDescent="0.25">
      <c r="A345" s="44" t="s">
        <v>282</v>
      </c>
      <c r="B345" s="274">
        <v>44498</v>
      </c>
      <c r="C345" s="44" t="s">
        <v>1036</v>
      </c>
      <c r="D345" s="275">
        <v>100004989</v>
      </c>
      <c r="E345" s="44" t="s">
        <v>1005</v>
      </c>
      <c r="F345" s="44" t="s">
        <v>1004</v>
      </c>
      <c r="G345" s="44" t="s">
        <v>1002</v>
      </c>
      <c r="H345" s="269">
        <v>2090</v>
      </c>
    </row>
    <row r="346" spans="1:8" outlineLevel="1" collapsed="1" x14ac:dyDescent="0.25">
      <c r="A346" s="282" t="s">
        <v>653</v>
      </c>
      <c r="B346" s="741"/>
      <c r="C346" s="742"/>
      <c r="D346" s="742"/>
      <c r="E346" s="742"/>
      <c r="F346" s="742"/>
      <c r="G346" s="743"/>
      <c r="H346" s="285">
        <f>SUBTOTAL(9,H321:H345)</f>
        <v>247737.79124999998</v>
      </c>
    </row>
    <row r="347" spans="1:8" hidden="1" outlineLevel="2" x14ac:dyDescent="0.25">
      <c r="A347" s="44" t="s">
        <v>285</v>
      </c>
      <c r="B347" s="274">
        <v>44470</v>
      </c>
      <c r="C347" s="44" t="s">
        <v>1034</v>
      </c>
      <c r="D347" s="275">
        <v>500033638</v>
      </c>
      <c r="E347" s="44" t="s">
        <v>713</v>
      </c>
      <c r="F347" s="44" t="s">
        <v>714</v>
      </c>
      <c r="G347" s="44"/>
      <c r="H347" s="276">
        <v>1791.53</v>
      </c>
    </row>
    <row r="348" spans="1:8" hidden="1" outlineLevel="2" x14ac:dyDescent="0.25">
      <c r="A348" s="44" t="s">
        <v>285</v>
      </c>
      <c r="B348" s="274">
        <v>44470</v>
      </c>
      <c r="C348" s="44" t="s">
        <v>1034</v>
      </c>
      <c r="D348" s="275">
        <v>10400572393</v>
      </c>
      <c r="E348" s="44" t="s">
        <v>716</v>
      </c>
      <c r="F348" s="44" t="s">
        <v>717</v>
      </c>
      <c r="G348" s="44"/>
      <c r="H348" s="276">
        <v>1223.1500000000001</v>
      </c>
    </row>
    <row r="349" spans="1:8" hidden="1" outlineLevel="2" x14ac:dyDescent="0.25">
      <c r="A349" s="44" t="s">
        <v>285</v>
      </c>
      <c r="B349" s="274">
        <v>44470</v>
      </c>
      <c r="C349" s="44" t="s">
        <v>1034</v>
      </c>
      <c r="D349" s="275">
        <v>10400578195</v>
      </c>
      <c r="E349" s="44" t="s">
        <v>716</v>
      </c>
      <c r="F349" s="44" t="s">
        <v>717</v>
      </c>
      <c r="G349" s="44"/>
      <c r="H349" s="276">
        <v>996.8</v>
      </c>
    </row>
    <row r="350" spans="1:8" hidden="1" outlineLevel="2" x14ac:dyDescent="0.25">
      <c r="A350" s="44" t="s">
        <v>285</v>
      </c>
      <c r="B350" s="274">
        <v>44470</v>
      </c>
      <c r="C350" s="44" t="s">
        <v>1034</v>
      </c>
      <c r="D350" s="275">
        <v>60000274229</v>
      </c>
      <c r="E350" s="44" t="s">
        <v>718</v>
      </c>
      <c r="F350" s="44" t="s">
        <v>717</v>
      </c>
      <c r="G350" s="44"/>
      <c r="H350" s="276">
        <v>6830.59</v>
      </c>
    </row>
    <row r="351" spans="1:8" hidden="1" outlineLevel="2" x14ac:dyDescent="0.25">
      <c r="A351" s="44" t="s">
        <v>285</v>
      </c>
      <c r="B351" s="274">
        <v>44470</v>
      </c>
      <c r="C351" s="44" t="s">
        <v>1034</v>
      </c>
      <c r="D351" s="275">
        <v>60000285996</v>
      </c>
      <c r="E351" s="44" t="s">
        <v>718</v>
      </c>
      <c r="F351" s="44" t="s">
        <v>717</v>
      </c>
      <c r="G351" s="44"/>
      <c r="H351" s="276">
        <v>6296.31</v>
      </c>
    </row>
    <row r="352" spans="1:8" ht="30" hidden="1" outlineLevel="2" x14ac:dyDescent="0.25">
      <c r="A352" s="44" t="s">
        <v>285</v>
      </c>
      <c r="B352" s="274">
        <v>44473</v>
      </c>
      <c r="C352" s="44" t="s">
        <v>1034</v>
      </c>
      <c r="D352" s="275">
        <v>6100301594</v>
      </c>
      <c r="E352" s="44" t="s">
        <v>730</v>
      </c>
      <c r="F352" s="44" t="s">
        <v>717</v>
      </c>
      <c r="G352" s="44"/>
      <c r="H352" s="276">
        <v>686</v>
      </c>
    </row>
    <row r="353" spans="1:8" hidden="1" outlineLevel="2" x14ac:dyDescent="0.25">
      <c r="A353" s="44" t="s">
        <v>285</v>
      </c>
      <c r="B353" s="274">
        <v>44474</v>
      </c>
      <c r="C353" s="44" t="s">
        <v>1034</v>
      </c>
      <c r="D353" s="275">
        <v>200000058</v>
      </c>
      <c r="E353" s="44" t="s">
        <v>733</v>
      </c>
      <c r="F353" s="44" t="s">
        <v>746</v>
      </c>
      <c r="G353" s="44"/>
      <c r="H353" s="276">
        <v>900</v>
      </c>
    </row>
    <row r="354" spans="1:8" hidden="1" outlineLevel="2" x14ac:dyDescent="0.25">
      <c r="A354" s="44" t="s">
        <v>285</v>
      </c>
      <c r="B354" s="274">
        <v>44474</v>
      </c>
      <c r="C354" s="44" t="s">
        <v>1034</v>
      </c>
      <c r="D354" s="275">
        <v>200000058</v>
      </c>
      <c r="E354" s="44" t="s">
        <v>733</v>
      </c>
      <c r="F354" s="44" t="s">
        <v>738</v>
      </c>
      <c r="G354" s="44"/>
      <c r="H354" s="276">
        <v>2500</v>
      </c>
    </row>
    <row r="355" spans="1:8" hidden="1" outlineLevel="2" x14ac:dyDescent="0.25">
      <c r="A355" s="44" t="s">
        <v>285</v>
      </c>
      <c r="B355" s="274">
        <v>44474</v>
      </c>
      <c r="C355" s="44" t="s">
        <v>1034</v>
      </c>
      <c r="D355" s="275">
        <v>200000058</v>
      </c>
      <c r="E355" s="44" t="s">
        <v>733</v>
      </c>
      <c r="F355" s="44" t="s">
        <v>820</v>
      </c>
      <c r="G355" s="44"/>
      <c r="H355" s="276">
        <v>800</v>
      </c>
    </row>
    <row r="356" spans="1:8" hidden="1" outlineLevel="2" x14ac:dyDescent="0.25">
      <c r="A356" s="44" t="s">
        <v>285</v>
      </c>
      <c r="B356" s="274">
        <v>44491</v>
      </c>
      <c r="C356" s="44" t="s">
        <v>1034</v>
      </c>
      <c r="D356" s="275">
        <v>10400638511</v>
      </c>
      <c r="E356" s="44" t="s">
        <v>716</v>
      </c>
      <c r="F356" s="44" t="s">
        <v>717</v>
      </c>
      <c r="G356" s="44"/>
      <c r="H356" s="276">
        <v>289.26</v>
      </c>
    </row>
    <row r="357" spans="1:8" hidden="1" outlineLevel="2" x14ac:dyDescent="0.25">
      <c r="A357" s="44" t="s">
        <v>285</v>
      </c>
      <c r="B357" s="274">
        <v>44491</v>
      </c>
      <c r="C357" s="44" t="s">
        <v>1034</v>
      </c>
      <c r="D357" s="275">
        <v>10400701977</v>
      </c>
      <c r="E357" s="44" t="s">
        <v>716</v>
      </c>
      <c r="F357" s="44" t="s">
        <v>717</v>
      </c>
      <c r="G357" s="44"/>
      <c r="H357" s="276">
        <v>2510.7399999999998</v>
      </c>
    </row>
    <row r="358" spans="1:8" hidden="1" outlineLevel="2" x14ac:dyDescent="0.25">
      <c r="A358" s="44" t="s">
        <v>285</v>
      </c>
      <c r="B358" s="274">
        <v>44491</v>
      </c>
      <c r="C358" s="44" t="s">
        <v>1034</v>
      </c>
      <c r="D358" s="275">
        <v>10400754323</v>
      </c>
      <c r="E358" s="44" t="s">
        <v>716</v>
      </c>
      <c r="F358" s="44" t="s">
        <v>717</v>
      </c>
      <c r="G358" s="44"/>
      <c r="H358" s="276">
        <v>104.12</v>
      </c>
    </row>
    <row r="359" spans="1:8" hidden="1" outlineLevel="2" x14ac:dyDescent="0.25">
      <c r="A359" s="44" t="s">
        <v>285</v>
      </c>
      <c r="B359" s="274">
        <v>44500</v>
      </c>
      <c r="C359" s="44" t="s">
        <v>1034</v>
      </c>
      <c r="D359" s="275">
        <v>60000298248</v>
      </c>
      <c r="E359" s="44" t="s">
        <v>718</v>
      </c>
      <c r="F359" s="44" t="s">
        <v>717</v>
      </c>
      <c r="G359" s="44"/>
      <c r="H359" s="276">
        <v>7292.13</v>
      </c>
    </row>
    <row r="360" spans="1:8" hidden="1" outlineLevel="2" x14ac:dyDescent="0.25">
      <c r="A360" s="44" t="s">
        <v>285</v>
      </c>
      <c r="B360" s="274">
        <v>44483</v>
      </c>
      <c r="C360" s="44" t="s">
        <v>1036</v>
      </c>
      <c r="D360" s="275">
        <v>100004950</v>
      </c>
      <c r="E360" s="44" t="s">
        <v>716</v>
      </c>
      <c r="F360" s="44" t="s">
        <v>717</v>
      </c>
      <c r="G360" s="44" t="s">
        <v>1006</v>
      </c>
      <c r="H360" s="269">
        <v>70.247940999999997</v>
      </c>
    </row>
    <row r="361" spans="1:8" hidden="1" outlineLevel="2" x14ac:dyDescent="0.25">
      <c r="A361" s="44" t="s">
        <v>285</v>
      </c>
      <c r="B361" s="274">
        <v>44483</v>
      </c>
      <c r="C361" s="44" t="s">
        <v>1036</v>
      </c>
      <c r="D361" s="275">
        <v>100004950</v>
      </c>
      <c r="E361" s="44" t="s">
        <v>716</v>
      </c>
      <c r="F361" s="44" t="s">
        <v>717</v>
      </c>
      <c r="G361" s="44" t="s">
        <v>1006</v>
      </c>
      <c r="H361" s="269">
        <v>363.63639799999999</v>
      </c>
    </row>
    <row r="362" spans="1:8" ht="30" hidden="1" outlineLevel="2" x14ac:dyDescent="0.25">
      <c r="A362" s="44" t="s">
        <v>285</v>
      </c>
      <c r="B362" s="274">
        <v>44483</v>
      </c>
      <c r="C362" s="44" t="s">
        <v>1036</v>
      </c>
      <c r="D362" s="275">
        <v>100004950</v>
      </c>
      <c r="E362" s="44" t="s">
        <v>1007</v>
      </c>
      <c r="F362" s="44" t="s">
        <v>934</v>
      </c>
      <c r="G362" s="44" t="s">
        <v>1006</v>
      </c>
      <c r="H362" s="269">
        <v>5500</v>
      </c>
    </row>
    <row r="363" spans="1:8" hidden="1" outlineLevel="2" x14ac:dyDescent="0.25">
      <c r="A363" s="44" t="s">
        <v>285</v>
      </c>
      <c r="B363" s="274">
        <v>44494</v>
      </c>
      <c r="C363" s="44" t="s">
        <v>1036</v>
      </c>
      <c r="D363" s="275">
        <v>100004972</v>
      </c>
      <c r="E363" s="44" t="s">
        <v>716</v>
      </c>
      <c r="F363" s="44" t="s">
        <v>717</v>
      </c>
      <c r="G363" s="44" t="s">
        <v>1008</v>
      </c>
      <c r="H363" s="269">
        <v>289.25623999999999</v>
      </c>
    </row>
    <row r="364" spans="1:8" hidden="1" outlineLevel="2" x14ac:dyDescent="0.25">
      <c r="A364" s="44" t="s">
        <v>285</v>
      </c>
      <c r="B364" s="274">
        <v>44494</v>
      </c>
      <c r="C364" s="44" t="s">
        <v>1036</v>
      </c>
      <c r="D364" s="275">
        <v>100004972</v>
      </c>
      <c r="E364" s="44" t="s">
        <v>716</v>
      </c>
      <c r="F364" s="44" t="s">
        <v>717</v>
      </c>
      <c r="G364" s="44" t="s">
        <v>1008</v>
      </c>
      <c r="H364" s="269">
        <v>363.63639799999999</v>
      </c>
    </row>
    <row r="365" spans="1:8" ht="30" hidden="1" outlineLevel="2" x14ac:dyDescent="0.25">
      <c r="A365" s="44" t="s">
        <v>285</v>
      </c>
      <c r="B365" s="274">
        <v>44494</v>
      </c>
      <c r="C365" s="44" t="s">
        <v>1036</v>
      </c>
      <c r="D365" s="275">
        <v>100004972</v>
      </c>
      <c r="E365" s="44" t="s">
        <v>915</v>
      </c>
      <c r="F365" s="44" t="s">
        <v>717</v>
      </c>
      <c r="G365" s="44" t="s">
        <v>1008</v>
      </c>
      <c r="H365" s="269">
        <v>528.92562399999997</v>
      </c>
    </row>
    <row r="366" spans="1:8" ht="30" hidden="1" outlineLevel="2" x14ac:dyDescent="0.25">
      <c r="A366" s="44" t="s">
        <v>285</v>
      </c>
      <c r="B366" s="274">
        <v>44494</v>
      </c>
      <c r="C366" s="44" t="s">
        <v>1036</v>
      </c>
      <c r="D366" s="275">
        <v>100004972</v>
      </c>
      <c r="E366" s="44" t="s">
        <v>943</v>
      </c>
      <c r="F366" s="44" t="s">
        <v>717</v>
      </c>
      <c r="G366" s="44" t="s">
        <v>1008</v>
      </c>
      <c r="H366" s="269">
        <v>264.46281199999999</v>
      </c>
    </row>
    <row r="367" spans="1:8" outlineLevel="1" collapsed="1" x14ac:dyDescent="0.25">
      <c r="A367" s="282" t="s">
        <v>654</v>
      </c>
      <c r="B367" s="741"/>
      <c r="C367" s="742"/>
      <c r="D367" s="742"/>
      <c r="E367" s="742"/>
      <c r="F367" s="742"/>
      <c r="G367" s="743"/>
      <c r="H367" s="285">
        <f>SUBTOTAL(9,H347:H366)</f>
        <v>39600.795413000007</v>
      </c>
    </row>
    <row r="368" spans="1:8" hidden="1" outlineLevel="2" x14ac:dyDescent="0.25">
      <c r="A368" s="44" t="s">
        <v>288</v>
      </c>
      <c r="B368" s="274">
        <v>44470</v>
      </c>
      <c r="C368" s="44" t="s">
        <v>1034</v>
      </c>
      <c r="D368" s="275">
        <v>500033638</v>
      </c>
      <c r="E368" s="44" t="s">
        <v>713</v>
      </c>
      <c r="F368" s="44" t="s">
        <v>714</v>
      </c>
      <c r="G368" s="44"/>
      <c r="H368" s="276">
        <v>1791.53</v>
      </c>
    </row>
    <row r="369" spans="1:8" hidden="1" outlineLevel="2" x14ac:dyDescent="0.25">
      <c r="A369" s="44" t="s">
        <v>288</v>
      </c>
      <c r="B369" s="274">
        <v>44470</v>
      </c>
      <c r="C369" s="44" t="s">
        <v>1034</v>
      </c>
      <c r="D369" s="275">
        <v>10400572393</v>
      </c>
      <c r="E369" s="44" t="s">
        <v>716</v>
      </c>
      <c r="F369" s="44" t="s">
        <v>717</v>
      </c>
      <c r="G369" s="44"/>
      <c r="H369" s="276">
        <v>115.7</v>
      </c>
    </row>
    <row r="370" spans="1:8" hidden="1" outlineLevel="2" x14ac:dyDescent="0.25">
      <c r="A370" s="44" t="s">
        <v>288</v>
      </c>
      <c r="B370" s="274">
        <v>44470</v>
      </c>
      <c r="C370" s="44" t="s">
        <v>1034</v>
      </c>
      <c r="D370" s="275">
        <v>10400578195</v>
      </c>
      <c r="E370" s="44" t="s">
        <v>716</v>
      </c>
      <c r="F370" s="44" t="s">
        <v>717</v>
      </c>
      <c r="G370" s="44"/>
      <c r="H370" s="276">
        <v>2676.94</v>
      </c>
    </row>
    <row r="371" spans="1:8" hidden="1" outlineLevel="2" x14ac:dyDescent="0.25">
      <c r="A371" s="44" t="s">
        <v>288</v>
      </c>
      <c r="B371" s="274">
        <v>44470</v>
      </c>
      <c r="C371" s="44" t="s">
        <v>1034</v>
      </c>
      <c r="D371" s="275">
        <v>60000274229</v>
      </c>
      <c r="E371" s="44" t="s">
        <v>718</v>
      </c>
      <c r="F371" s="44" t="s">
        <v>717</v>
      </c>
      <c r="G371" s="44"/>
      <c r="H371" s="276">
        <v>2100.5500000000002</v>
      </c>
    </row>
    <row r="372" spans="1:8" hidden="1" outlineLevel="2" x14ac:dyDescent="0.25">
      <c r="A372" s="44" t="s">
        <v>288</v>
      </c>
      <c r="B372" s="274">
        <v>44470</v>
      </c>
      <c r="C372" s="44" t="s">
        <v>1034</v>
      </c>
      <c r="D372" s="275">
        <v>60000285996</v>
      </c>
      <c r="E372" s="44" t="s">
        <v>718</v>
      </c>
      <c r="F372" s="44" t="s">
        <v>717</v>
      </c>
      <c r="G372" s="44"/>
      <c r="H372" s="276">
        <v>2465.63</v>
      </c>
    </row>
    <row r="373" spans="1:8" hidden="1" outlineLevel="2" x14ac:dyDescent="0.25">
      <c r="A373" s="44" t="s">
        <v>288</v>
      </c>
      <c r="B373" s="274">
        <v>44489</v>
      </c>
      <c r="C373" s="44" t="s">
        <v>1034</v>
      </c>
      <c r="D373" s="275">
        <v>50300366327</v>
      </c>
      <c r="E373" s="44" t="s">
        <v>741</v>
      </c>
      <c r="F373" s="44" t="s">
        <v>717</v>
      </c>
      <c r="G373" s="44"/>
      <c r="H373" s="276">
        <v>494.55</v>
      </c>
    </row>
    <row r="374" spans="1:8" hidden="1" outlineLevel="2" x14ac:dyDescent="0.25">
      <c r="A374" s="44" t="s">
        <v>288</v>
      </c>
      <c r="B374" s="274">
        <v>44491</v>
      </c>
      <c r="C374" s="44" t="s">
        <v>1034</v>
      </c>
      <c r="D374" s="275">
        <v>10400676781</v>
      </c>
      <c r="E374" s="44" t="s">
        <v>716</v>
      </c>
      <c r="F374" s="44" t="s">
        <v>717</v>
      </c>
      <c r="G374" s="44"/>
      <c r="H374" s="276">
        <v>1574.38</v>
      </c>
    </row>
    <row r="375" spans="1:8" hidden="1" outlineLevel="2" x14ac:dyDescent="0.25">
      <c r="A375" s="44" t="s">
        <v>288</v>
      </c>
      <c r="B375" s="274">
        <v>44491</v>
      </c>
      <c r="C375" s="44" t="s">
        <v>1034</v>
      </c>
      <c r="D375" s="275">
        <v>10400701977</v>
      </c>
      <c r="E375" s="44" t="s">
        <v>716</v>
      </c>
      <c r="F375" s="44" t="s">
        <v>717</v>
      </c>
      <c r="G375" s="44"/>
      <c r="H375" s="276">
        <v>312.39999999999998</v>
      </c>
    </row>
    <row r="376" spans="1:8" hidden="1" outlineLevel="2" x14ac:dyDescent="0.25">
      <c r="A376" s="44" t="s">
        <v>288</v>
      </c>
      <c r="B376" s="274">
        <v>44499</v>
      </c>
      <c r="C376" s="44" t="s">
        <v>1034</v>
      </c>
      <c r="D376" s="275">
        <v>300001911</v>
      </c>
      <c r="E376" s="44" t="s">
        <v>802</v>
      </c>
      <c r="F376" s="44" t="s">
        <v>822</v>
      </c>
      <c r="G376" s="44"/>
      <c r="H376" s="276">
        <v>1327.92</v>
      </c>
    </row>
    <row r="377" spans="1:8" hidden="1" outlineLevel="2" x14ac:dyDescent="0.25">
      <c r="A377" s="44" t="s">
        <v>288</v>
      </c>
      <c r="B377" s="274">
        <v>44500</v>
      </c>
      <c r="C377" s="44" t="s">
        <v>1034</v>
      </c>
      <c r="D377" s="275">
        <v>60000298248</v>
      </c>
      <c r="E377" s="44" t="s">
        <v>718</v>
      </c>
      <c r="F377" s="44" t="s">
        <v>717</v>
      </c>
      <c r="G377" s="44"/>
      <c r="H377" s="276">
        <v>4241.34</v>
      </c>
    </row>
    <row r="378" spans="1:8" hidden="1" outlineLevel="2" x14ac:dyDescent="0.25">
      <c r="A378" s="278" t="s">
        <v>288</v>
      </c>
      <c r="B378" s="279">
        <v>44491</v>
      </c>
      <c r="C378" s="278" t="s">
        <v>1033</v>
      </c>
      <c r="D378" s="275">
        <v>7724</v>
      </c>
      <c r="E378" s="278" t="s">
        <v>841</v>
      </c>
      <c r="F378" s="278" t="s">
        <v>844</v>
      </c>
      <c r="G378" s="278" t="s">
        <v>845</v>
      </c>
      <c r="H378" s="269">
        <v>11267.1</v>
      </c>
    </row>
    <row r="379" spans="1:8" hidden="1" outlineLevel="2" x14ac:dyDescent="0.25">
      <c r="A379" s="44" t="s">
        <v>288</v>
      </c>
      <c r="B379" s="274">
        <v>44484</v>
      </c>
      <c r="C379" s="44" t="s">
        <v>1032</v>
      </c>
      <c r="D379" s="275">
        <v>6580</v>
      </c>
      <c r="E379" s="44" t="s">
        <v>846</v>
      </c>
      <c r="F379" s="44" t="s">
        <v>890</v>
      </c>
      <c r="G379" s="44" t="s">
        <v>891</v>
      </c>
      <c r="H379" s="276">
        <v>918.38</v>
      </c>
    </row>
    <row r="380" spans="1:8" hidden="1" outlineLevel="2" x14ac:dyDescent="0.25">
      <c r="A380" s="44" t="s">
        <v>288</v>
      </c>
      <c r="B380" s="274">
        <v>44490</v>
      </c>
      <c r="C380" s="44" t="s">
        <v>1032</v>
      </c>
      <c r="D380" s="275">
        <v>6598</v>
      </c>
      <c r="E380" s="44" t="s">
        <v>846</v>
      </c>
      <c r="F380" s="44" t="s">
        <v>875</v>
      </c>
      <c r="G380" s="44" t="s">
        <v>898</v>
      </c>
      <c r="H380" s="276">
        <v>72.34</v>
      </c>
    </row>
    <row r="381" spans="1:8" ht="30" hidden="1" outlineLevel="2" x14ac:dyDescent="0.25">
      <c r="A381" s="44" t="s">
        <v>288</v>
      </c>
      <c r="B381" s="274">
        <v>44470</v>
      </c>
      <c r="C381" s="44" t="s">
        <v>1036</v>
      </c>
      <c r="D381" s="275">
        <v>100004929</v>
      </c>
      <c r="E381" s="44" t="s">
        <v>1009</v>
      </c>
      <c r="F381" s="44" t="s">
        <v>953</v>
      </c>
      <c r="G381" s="44" t="s">
        <v>941</v>
      </c>
      <c r="H381" s="269">
        <v>600</v>
      </c>
    </row>
    <row r="382" spans="1:8" hidden="1" outlineLevel="2" x14ac:dyDescent="0.25">
      <c r="A382" s="44" t="s">
        <v>288</v>
      </c>
      <c r="B382" s="274">
        <v>44470</v>
      </c>
      <c r="C382" s="44" t="s">
        <v>1036</v>
      </c>
      <c r="D382" s="275">
        <v>100004929</v>
      </c>
      <c r="E382" s="44" t="s">
        <v>716</v>
      </c>
      <c r="F382" s="44" t="s">
        <v>717</v>
      </c>
      <c r="G382" s="44" t="s">
        <v>941</v>
      </c>
      <c r="H382" s="269">
        <v>157.02481299999999</v>
      </c>
    </row>
    <row r="383" spans="1:8" hidden="1" outlineLevel="2" x14ac:dyDescent="0.25">
      <c r="A383" s="44" t="s">
        <v>288</v>
      </c>
      <c r="B383" s="274">
        <v>44470</v>
      </c>
      <c r="C383" s="44" t="s">
        <v>1036</v>
      </c>
      <c r="D383" s="275">
        <v>100004929</v>
      </c>
      <c r="E383" s="44" t="s">
        <v>716</v>
      </c>
      <c r="F383" s="44" t="s">
        <v>717</v>
      </c>
      <c r="G383" s="44" t="s">
        <v>941</v>
      </c>
      <c r="H383" s="269">
        <v>181.81819899999999</v>
      </c>
    </row>
    <row r="384" spans="1:8" ht="30" hidden="1" outlineLevel="2" x14ac:dyDescent="0.25">
      <c r="A384" s="44" t="s">
        <v>288</v>
      </c>
      <c r="B384" s="274">
        <v>44470</v>
      </c>
      <c r="C384" s="44" t="s">
        <v>1036</v>
      </c>
      <c r="D384" s="275">
        <v>100004929</v>
      </c>
      <c r="E384" s="44" t="s">
        <v>915</v>
      </c>
      <c r="F384" s="44" t="s">
        <v>717</v>
      </c>
      <c r="G384" s="44" t="s">
        <v>941</v>
      </c>
      <c r="H384" s="269">
        <v>413.22316999999998</v>
      </c>
    </row>
    <row r="385" spans="1:8" ht="30" hidden="1" outlineLevel="2" x14ac:dyDescent="0.25">
      <c r="A385" s="44" t="s">
        <v>288</v>
      </c>
      <c r="B385" s="274">
        <v>44470</v>
      </c>
      <c r="C385" s="44" t="s">
        <v>1036</v>
      </c>
      <c r="D385" s="275">
        <v>100004929</v>
      </c>
      <c r="E385" s="44" t="s">
        <v>988</v>
      </c>
      <c r="F385" s="44" t="s">
        <v>953</v>
      </c>
      <c r="G385" s="44" t="s">
        <v>941</v>
      </c>
      <c r="H385" s="269">
        <v>520</v>
      </c>
    </row>
    <row r="386" spans="1:8" hidden="1" outlineLevel="2" x14ac:dyDescent="0.25">
      <c r="A386" s="44" t="s">
        <v>288</v>
      </c>
      <c r="B386" s="274">
        <v>44482</v>
      </c>
      <c r="C386" s="44" t="s">
        <v>1036</v>
      </c>
      <c r="D386" s="275">
        <v>100004944</v>
      </c>
      <c r="E386" s="44" t="s">
        <v>1010</v>
      </c>
      <c r="F386" s="44" t="s">
        <v>938</v>
      </c>
      <c r="G386" s="44"/>
      <c r="H386" s="269">
        <v>500</v>
      </c>
    </row>
    <row r="387" spans="1:8" hidden="1" outlineLevel="2" x14ac:dyDescent="0.25">
      <c r="A387" s="44" t="s">
        <v>288</v>
      </c>
      <c r="B387" s="274">
        <v>44482</v>
      </c>
      <c r="C387" s="44" t="s">
        <v>1036</v>
      </c>
      <c r="D387" s="275">
        <v>100004944</v>
      </c>
      <c r="E387" s="44" t="s">
        <v>1011</v>
      </c>
      <c r="F387" s="44" t="s">
        <v>937</v>
      </c>
      <c r="G387" s="44"/>
      <c r="H387" s="269">
        <v>8055.3723</v>
      </c>
    </row>
    <row r="388" spans="1:8" hidden="1" outlineLevel="2" x14ac:dyDescent="0.25">
      <c r="A388" s="44" t="s">
        <v>288</v>
      </c>
      <c r="B388" s="274">
        <v>44484</v>
      </c>
      <c r="C388" s="44" t="s">
        <v>1036</v>
      </c>
      <c r="D388" s="275">
        <v>100004956</v>
      </c>
      <c r="E388" s="44" t="s">
        <v>716</v>
      </c>
      <c r="F388" s="44" t="s">
        <v>717</v>
      </c>
      <c r="G388" s="44" t="s">
        <v>1012</v>
      </c>
      <c r="H388" s="269">
        <v>396.69421799999998</v>
      </c>
    </row>
    <row r="389" spans="1:8" hidden="1" outlineLevel="2" x14ac:dyDescent="0.25">
      <c r="A389" s="44" t="s">
        <v>288</v>
      </c>
      <c r="B389" s="274">
        <v>44484</v>
      </c>
      <c r="C389" s="44" t="s">
        <v>1036</v>
      </c>
      <c r="D389" s="275">
        <v>100004956</v>
      </c>
      <c r="E389" s="44" t="s">
        <v>716</v>
      </c>
      <c r="F389" s="44" t="s">
        <v>717</v>
      </c>
      <c r="G389" s="44" t="s">
        <v>1012</v>
      </c>
      <c r="H389" s="269">
        <v>454.54546600000003</v>
      </c>
    </row>
    <row r="390" spans="1:8" hidden="1" outlineLevel="2" x14ac:dyDescent="0.25">
      <c r="A390" s="44" t="s">
        <v>288</v>
      </c>
      <c r="B390" s="274">
        <v>44484</v>
      </c>
      <c r="C390" s="44" t="s">
        <v>1036</v>
      </c>
      <c r="D390" s="275">
        <v>100004957</v>
      </c>
      <c r="E390" s="44" t="s">
        <v>931</v>
      </c>
      <c r="F390" s="44" t="s">
        <v>717</v>
      </c>
      <c r="G390" s="44" t="s">
        <v>1013</v>
      </c>
      <c r="H390" s="269">
        <v>1371.900832</v>
      </c>
    </row>
    <row r="391" spans="1:8" ht="30" hidden="1" outlineLevel="2" x14ac:dyDescent="0.25">
      <c r="A391" s="44" t="s">
        <v>288</v>
      </c>
      <c r="B391" s="274">
        <v>44490</v>
      </c>
      <c r="C391" s="44" t="s">
        <v>1036</v>
      </c>
      <c r="D391" s="275">
        <v>100004965</v>
      </c>
      <c r="E391" s="44" t="s">
        <v>987</v>
      </c>
      <c r="F391" s="44" t="s">
        <v>953</v>
      </c>
      <c r="G391" s="44" t="s">
        <v>1014</v>
      </c>
      <c r="H391" s="269">
        <v>600</v>
      </c>
    </row>
    <row r="392" spans="1:8" hidden="1" outlineLevel="2" x14ac:dyDescent="0.25">
      <c r="A392" s="44" t="s">
        <v>288</v>
      </c>
      <c r="B392" s="274">
        <v>44490</v>
      </c>
      <c r="C392" s="44" t="s">
        <v>1036</v>
      </c>
      <c r="D392" s="275">
        <v>100004965</v>
      </c>
      <c r="E392" s="44" t="s">
        <v>716</v>
      </c>
      <c r="F392" s="44" t="s">
        <v>717</v>
      </c>
      <c r="G392" s="44" t="s">
        <v>1014</v>
      </c>
      <c r="H392" s="269">
        <v>157.02481299999999</v>
      </c>
    </row>
    <row r="393" spans="1:8" hidden="1" outlineLevel="2" x14ac:dyDescent="0.25">
      <c r="A393" s="44" t="s">
        <v>288</v>
      </c>
      <c r="B393" s="274">
        <v>44490</v>
      </c>
      <c r="C393" s="44" t="s">
        <v>1036</v>
      </c>
      <c r="D393" s="275">
        <v>100004965</v>
      </c>
      <c r="E393" s="44" t="s">
        <v>716</v>
      </c>
      <c r="F393" s="44" t="s">
        <v>717</v>
      </c>
      <c r="G393" s="44" t="s">
        <v>1014</v>
      </c>
      <c r="H393" s="269">
        <v>181.81819899999999</v>
      </c>
    </row>
    <row r="394" spans="1:8" ht="30" hidden="1" outlineLevel="2" x14ac:dyDescent="0.25">
      <c r="A394" s="44" t="s">
        <v>288</v>
      </c>
      <c r="B394" s="274">
        <v>44490</v>
      </c>
      <c r="C394" s="44" t="s">
        <v>1036</v>
      </c>
      <c r="D394" s="275">
        <v>100004965</v>
      </c>
      <c r="E394" s="44" t="s">
        <v>915</v>
      </c>
      <c r="F394" s="44" t="s">
        <v>717</v>
      </c>
      <c r="G394" s="44" t="s">
        <v>1014</v>
      </c>
      <c r="H394" s="269">
        <v>413.22316999999998</v>
      </c>
    </row>
    <row r="395" spans="1:8" ht="30" hidden="1" outlineLevel="2" x14ac:dyDescent="0.25">
      <c r="A395" s="44" t="s">
        <v>288</v>
      </c>
      <c r="B395" s="274">
        <v>44490</v>
      </c>
      <c r="C395" s="44" t="s">
        <v>1036</v>
      </c>
      <c r="D395" s="275">
        <v>100004965</v>
      </c>
      <c r="E395" s="44" t="s">
        <v>1015</v>
      </c>
      <c r="F395" s="44" t="s">
        <v>917</v>
      </c>
      <c r="G395" s="44" t="s">
        <v>1014</v>
      </c>
      <c r="H395" s="269">
        <v>1500</v>
      </c>
    </row>
    <row r="396" spans="1:8" ht="45" hidden="1" outlineLevel="2" x14ac:dyDescent="0.25">
      <c r="A396" s="44" t="s">
        <v>288</v>
      </c>
      <c r="B396" s="274">
        <v>44490</v>
      </c>
      <c r="C396" s="44" t="s">
        <v>1036</v>
      </c>
      <c r="D396" s="275">
        <v>100004965</v>
      </c>
      <c r="E396" s="44" t="s">
        <v>1016</v>
      </c>
      <c r="F396" s="44" t="s">
        <v>953</v>
      </c>
      <c r="G396" s="44" t="s">
        <v>1014</v>
      </c>
      <c r="H396" s="269">
        <v>520</v>
      </c>
    </row>
    <row r="397" spans="1:8" hidden="1" outlineLevel="2" x14ac:dyDescent="0.25">
      <c r="A397" s="44" t="s">
        <v>288</v>
      </c>
      <c r="B397" s="274">
        <v>44490</v>
      </c>
      <c r="C397" s="44" t="s">
        <v>1036</v>
      </c>
      <c r="D397" s="275">
        <v>100004965</v>
      </c>
      <c r="E397" s="44" t="s">
        <v>1017</v>
      </c>
      <c r="F397" s="44" t="s">
        <v>968</v>
      </c>
      <c r="G397" s="44" t="s">
        <v>1014</v>
      </c>
      <c r="H397" s="269">
        <v>450</v>
      </c>
    </row>
    <row r="398" spans="1:8" outlineLevel="1" collapsed="1" x14ac:dyDescent="0.25">
      <c r="A398" s="282" t="s">
        <v>655</v>
      </c>
      <c r="B398" s="741"/>
      <c r="C398" s="742"/>
      <c r="D398" s="742"/>
      <c r="E398" s="742"/>
      <c r="F398" s="742"/>
      <c r="G398" s="743"/>
      <c r="H398" s="285">
        <f>SUBTOTAL(9,H368:H397)</f>
        <v>45831.405180000002</v>
      </c>
    </row>
    <row r="399" spans="1:8" hidden="1" outlineLevel="2" x14ac:dyDescent="0.25">
      <c r="A399" s="44" t="s">
        <v>302</v>
      </c>
      <c r="B399" s="274">
        <v>44470</v>
      </c>
      <c r="C399" s="44" t="s">
        <v>1034</v>
      </c>
      <c r="D399" s="275">
        <v>500033638</v>
      </c>
      <c r="E399" s="44" t="s">
        <v>713</v>
      </c>
      <c r="F399" s="44" t="s">
        <v>714</v>
      </c>
      <c r="G399" s="44"/>
      <c r="H399" s="276">
        <v>1791.53</v>
      </c>
    </row>
    <row r="400" spans="1:8" hidden="1" outlineLevel="2" x14ac:dyDescent="0.25">
      <c r="A400" s="44" t="s">
        <v>302</v>
      </c>
      <c r="B400" s="274">
        <v>44470</v>
      </c>
      <c r="C400" s="44" t="s">
        <v>1034</v>
      </c>
      <c r="D400" s="275">
        <v>60000274229</v>
      </c>
      <c r="E400" s="44" t="s">
        <v>718</v>
      </c>
      <c r="F400" s="44" t="s">
        <v>717</v>
      </c>
      <c r="G400" s="44"/>
      <c r="H400" s="276">
        <v>5317.5</v>
      </c>
    </row>
    <row r="401" spans="1:8" hidden="1" outlineLevel="2" x14ac:dyDescent="0.25">
      <c r="A401" s="44" t="s">
        <v>302</v>
      </c>
      <c r="B401" s="274">
        <v>44470</v>
      </c>
      <c r="C401" s="44" t="s">
        <v>1034</v>
      </c>
      <c r="D401" s="275">
        <v>60000285996</v>
      </c>
      <c r="E401" s="44" t="s">
        <v>718</v>
      </c>
      <c r="F401" s="44" t="s">
        <v>717</v>
      </c>
      <c r="G401" s="44"/>
      <c r="H401" s="276">
        <v>1166.71</v>
      </c>
    </row>
    <row r="402" spans="1:8" hidden="1" outlineLevel="2" x14ac:dyDescent="0.25">
      <c r="A402" s="44" t="s">
        <v>302</v>
      </c>
      <c r="B402" s="274">
        <v>44484</v>
      </c>
      <c r="C402" s="44" t="s">
        <v>1034</v>
      </c>
      <c r="D402" s="275">
        <v>501300183869</v>
      </c>
      <c r="E402" s="44" t="s">
        <v>723</v>
      </c>
      <c r="F402" s="44" t="s">
        <v>717</v>
      </c>
      <c r="G402" s="44"/>
      <c r="H402" s="276">
        <v>540.03</v>
      </c>
    </row>
    <row r="403" spans="1:8" hidden="1" outlineLevel="2" x14ac:dyDescent="0.25">
      <c r="A403" s="44" t="s">
        <v>302</v>
      </c>
      <c r="B403" s="274">
        <v>44488</v>
      </c>
      <c r="C403" s="44" t="s">
        <v>1034</v>
      </c>
      <c r="D403" s="275">
        <v>71102227484</v>
      </c>
      <c r="E403" s="44" t="s">
        <v>739</v>
      </c>
      <c r="F403" s="44" t="s">
        <v>717</v>
      </c>
      <c r="G403" s="44"/>
      <c r="H403" s="276">
        <v>375.91</v>
      </c>
    </row>
    <row r="404" spans="1:8" hidden="1" outlineLevel="2" x14ac:dyDescent="0.25">
      <c r="A404" s="44" t="s">
        <v>302</v>
      </c>
      <c r="B404" s="274">
        <v>44491</v>
      </c>
      <c r="C404" s="44" t="s">
        <v>1034</v>
      </c>
      <c r="D404" s="275">
        <v>10400701977</v>
      </c>
      <c r="E404" s="44" t="s">
        <v>716</v>
      </c>
      <c r="F404" s="44" t="s">
        <v>717</v>
      </c>
      <c r="G404" s="44"/>
      <c r="H404" s="276">
        <v>1095.8699999999999</v>
      </c>
    </row>
    <row r="405" spans="1:8" hidden="1" outlineLevel="2" x14ac:dyDescent="0.25">
      <c r="A405" s="44" t="s">
        <v>302</v>
      </c>
      <c r="B405" s="274">
        <v>44496</v>
      </c>
      <c r="C405" s="44" t="s">
        <v>1034</v>
      </c>
      <c r="D405" s="275">
        <v>300000103</v>
      </c>
      <c r="E405" s="44" t="s">
        <v>728</v>
      </c>
      <c r="F405" s="44" t="s">
        <v>823</v>
      </c>
      <c r="G405" s="44"/>
      <c r="H405" s="276">
        <v>553.72</v>
      </c>
    </row>
    <row r="406" spans="1:8" hidden="1" outlineLevel="2" x14ac:dyDescent="0.25">
      <c r="A406" s="44" t="s">
        <v>302</v>
      </c>
      <c r="B406" s="274">
        <v>44500</v>
      </c>
      <c r="C406" s="44" t="s">
        <v>1034</v>
      </c>
      <c r="D406" s="275">
        <v>60000298248</v>
      </c>
      <c r="E406" s="44" t="s">
        <v>718</v>
      </c>
      <c r="F406" s="44" t="s">
        <v>717</v>
      </c>
      <c r="G406" s="44"/>
      <c r="H406" s="276">
        <v>2414.1999999999998</v>
      </c>
    </row>
    <row r="407" spans="1:8" hidden="1" outlineLevel="2" x14ac:dyDescent="0.25">
      <c r="A407" s="44" t="s">
        <v>302</v>
      </c>
      <c r="B407" s="274">
        <v>44473</v>
      </c>
      <c r="C407" s="44" t="s">
        <v>1036</v>
      </c>
      <c r="D407" s="275">
        <v>100004934</v>
      </c>
      <c r="E407" s="44" t="s">
        <v>716</v>
      </c>
      <c r="F407" s="44" t="s">
        <v>717</v>
      </c>
      <c r="G407" s="44" t="s">
        <v>1018</v>
      </c>
      <c r="H407" s="269">
        <v>578.51247999999998</v>
      </c>
    </row>
    <row r="408" spans="1:8" ht="30" hidden="1" outlineLevel="2" x14ac:dyDescent="0.25">
      <c r="A408" s="44" t="s">
        <v>302</v>
      </c>
      <c r="B408" s="274">
        <v>44473</v>
      </c>
      <c r="C408" s="44" t="s">
        <v>1036</v>
      </c>
      <c r="D408" s="275">
        <v>100004934</v>
      </c>
      <c r="E408" s="44" t="s">
        <v>915</v>
      </c>
      <c r="F408" s="44" t="s">
        <v>717</v>
      </c>
      <c r="G408" s="44" t="s">
        <v>1018</v>
      </c>
      <c r="H408" s="269">
        <v>528.92562399999997</v>
      </c>
    </row>
    <row r="409" spans="1:8" hidden="1" outlineLevel="2" x14ac:dyDescent="0.25">
      <c r="A409" s="44" t="s">
        <v>302</v>
      </c>
      <c r="B409" s="274">
        <v>44489</v>
      </c>
      <c r="C409" s="44" t="s">
        <v>1036</v>
      </c>
      <c r="D409" s="275">
        <v>100004961</v>
      </c>
      <c r="E409" s="44" t="s">
        <v>716</v>
      </c>
      <c r="F409" s="44" t="s">
        <v>717</v>
      </c>
      <c r="G409" s="44" t="s">
        <v>1019</v>
      </c>
      <c r="H409" s="269">
        <v>132.23140599999999</v>
      </c>
    </row>
    <row r="410" spans="1:8" hidden="1" outlineLevel="2" x14ac:dyDescent="0.25">
      <c r="A410" s="44" t="s">
        <v>302</v>
      </c>
      <c r="B410" s="274">
        <v>44489</v>
      </c>
      <c r="C410" s="44" t="s">
        <v>1036</v>
      </c>
      <c r="D410" s="275">
        <v>100004961</v>
      </c>
      <c r="E410" s="44" t="s">
        <v>716</v>
      </c>
      <c r="F410" s="44" t="s">
        <v>717</v>
      </c>
      <c r="G410" s="44" t="s">
        <v>1019</v>
      </c>
      <c r="H410" s="269">
        <v>280.99176399999999</v>
      </c>
    </row>
    <row r="411" spans="1:8" hidden="1" outlineLevel="2" x14ac:dyDescent="0.25">
      <c r="A411" s="44" t="s">
        <v>302</v>
      </c>
      <c r="B411" s="274">
        <v>44489</v>
      </c>
      <c r="C411" s="44" t="s">
        <v>1036</v>
      </c>
      <c r="D411" s="275">
        <v>100004961</v>
      </c>
      <c r="E411" s="44" t="s">
        <v>716</v>
      </c>
      <c r="F411" s="44" t="s">
        <v>717</v>
      </c>
      <c r="G411" s="44" t="s">
        <v>1019</v>
      </c>
      <c r="H411" s="269">
        <v>181.81819899999999</v>
      </c>
    </row>
    <row r="412" spans="1:8" hidden="1" outlineLevel="2" x14ac:dyDescent="0.25">
      <c r="A412" s="44" t="s">
        <v>302</v>
      </c>
      <c r="B412" s="274">
        <v>44489</v>
      </c>
      <c r="C412" s="44" t="s">
        <v>1036</v>
      </c>
      <c r="D412" s="275">
        <v>100004961</v>
      </c>
      <c r="E412" s="44" t="s">
        <v>1020</v>
      </c>
      <c r="F412" s="44" t="s">
        <v>934</v>
      </c>
      <c r="G412" s="44" t="s">
        <v>1019</v>
      </c>
      <c r="H412" s="269">
        <v>1070</v>
      </c>
    </row>
    <row r="413" spans="1:8" ht="30" hidden="1" outlineLevel="2" x14ac:dyDescent="0.25">
      <c r="A413" s="44" t="s">
        <v>302</v>
      </c>
      <c r="B413" s="274">
        <v>44489</v>
      </c>
      <c r="C413" s="44" t="s">
        <v>1036</v>
      </c>
      <c r="D413" s="275">
        <v>100004961</v>
      </c>
      <c r="E413" s="44" t="s">
        <v>1021</v>
      </c>
      <c r="F413" s="44" t="s">
        <v>934</v>
      </c>
      <c r="G413" s="44" t="s">
        <v>1019</v>
      </c>
      <c r="H413" s="269">
        <v>290</v>
      </c>
    </row>
    <row r="414" spans="1:8" outlineLevel="1" collapsed="1" x14ac:dyDescent="0.25">
      <c r="A414" s="282" t="s">
        <v>656</v>
      </c>
      <c r="B414" s="741"/>
      <c r="C414" s="742"/>
      <c r="D414" s="742"/>
      <c r="E414" s="742"/>
      <c r="F414" s="742"/>
      <c r="G414" s="743"/>
      <c r="H414" s="285">
        <f>SUBTOTAL(9,H399:H413)</f>
        <v>16317.949472999997</v>
      </c>
    </row>
    <row r="415" spans="1:8" hidden="1" outlineLevel="2" x14ac:dyDescent="0.25">
      <c r="A415" s="44" t="s">
        <v>316</v>
      </c>
      <c r="B415" s="274">
        <v>44470</v>
      </c>
      <c r="C415" s="44" t="s">
        <v>1034</v>
      </c>
      <c r="D415" s="275">
        <v>500033638</v>
      </c>
      <c r="E415" s="44" t="s">
        <v>713</v>
      </c>
      <c r="F415" s="44" t="s">
        <v>714</v>
      </c>
      <c r="G415" s="44"/>
      <c r="H415" s="276">
        <v>1791.53</v>
      </c>
    </row>
    <row r="416" spans="1:8" hidden="1" outlineLevel="2" x14ac:dyDescent="0.25">
      <c r="A416" s="44" t="s">
        <v>316</v>
      </c>
      <c r="B416" s="274">
        <v>44470</v>
      </c>
      <c r="C416" s="44" t="s">
        <v>1034</v>
      </c>
      <c r="D416" s="275">
        <v>10400578195</v>
      </c>
      <c r="E416" s="44" t="s">
        <v>716</v>
      </c>
      <c r="F416" s="44" t="s">
        <v>717</v>
      </c>
      <c r="G416" s="44"/>
      <c r="H416" s="276">
        <v>366.98</v>
      </c>
    </row>
    <row r="417" spans="1:8" hidden="1" outlineLevel="2" x14ac:dyDescent="0.25">
      <c r="A417" s="44" t="s">
        <v>316</v>
      </c>
      <c r="B417" s="274">
        <v>44470</v>
      </c>
      <c r="C417" s="44" t="s">
        <v>1034</v>
      </c>
      <c r="D417" s="275">
        <v>60000274229</v>
      </c>
      <c r="E417" s="44" t="s">
        <v>718</v>
      </c>
      <c r="F417" s="44" t="s">
        <v>717</v>
      </c>
      <c r="G417" s="44"/>
      <c r="H417" s="276">
        <v>2757.93</v>
      </c>
    </row>
    <row r="418" spans="1:8" hidden="1" outlineLevel="2" x14ac:dyDescent="0.25">
      <c r="A418" s="44" t="s">
        <v>316</v>
      </c>
      <c r="B418" s="274">
        <v>44470</v>
      </c>
      <c r="C418" s="44" t="s">
        <v>1034</v>
      </c>
      <c r="D418" s="275">
        <v>60000285996</v>
      </c>
      <c r="E418" s="44" t="s">
        <v>718</v>
      </c>
      <c r="F418" s="44" t="s">
        <v>717</v>
      </c>
      <c r="G418" s="44"/>
      <c r="H418" s="276">
        <v>4507.3500000000004</v>
      </c>
    </row>
    <row r="419" spans="1:8" hidden="1" outlineLevel="2" x14ac:dyDescent="0.25">
      <c r="A419" s="44" t="s">
        <v>316</v>
      </c>
      <c r="B419" s="274">
        <v>44470</v>
      </c>
      <c r="C419" s="44" t="s">
        <v>1034</v>
      </c>
      <c r="D419" s="275">
        <v>65100019280</v>
      </c>
      <c r="E419" s="44" t="s">
        <v>720</v>
      </c>
      <c r="F419" s="44" t="s">
        <v>721</v>
      </c>
      <c r="G419" s="44"/>
      <c r="H419" s="276">
        <v>1922</v>
      </c>
    </row>
    <row r="420" spans="1:8" hidden="1" outlineLevel="2" x14ac:dyDescent="0.25">
      <c r="A420" s="44" t="s">
        <v>316</v>
      </c>
      <c r="B420" s="274">
        <v>44470</v>
      </c>
      <c r="C420" s="44" t="s">
        <v>1034</v>
      </c>
      <c r="D420" s="275">
        <v>65100019280</v>
      </c>
      <c r="E420" s="44" t="s">
        <v>720</v>
      </c>
      <c r="F420" s="44" t="s">
        <v>722</v>
      </c>
      <c r="G420" s="44"/>
      <c r="H420" s="276">
        <v>272</v>
      </c>
    </row>
    <row r="421" spans="1:8" hidden="1" outlineLevel="2" x14ac:dyDescent="0.25">
      <c r="A421" s="44" t="s">
        <v>316</v>
      </c>
      <c r="B421" s="274">
        <v>44474</v>
      </c>
      <c r="C421" s="44" t="s">
        <v>1034</v>
      </c>
      <c r="D421" s="275">
        <v>200000058</v>
      </c>
      <c r="E421" s="44" t="s">
        <v>733</v>
      </c>
      <c r="F421" s="44" t="s">
        <v>746</v>
      </c>
      <c r="G421" s="44"/>
      <c r="H421" s="276">
        <v>900</v>
      </c>
    </row>
    <row r="422" spans="1:8" hidden="1" outlineLevel="2" x14ac:dyDescent="0.25">
      <c r="A422" s="44" t="s">
        <v>316</v>
      </c>
      <c r="B422" s="274">
        <v>44489</v>
      </c>
      <c r="C422" s="44" t="s">
        <v>1034</v>
      </c>
      <c r="D422" s="275">
        <v>50300366327</v>
      </c>
      <c r="E422" s="44" t="s">
        <v>741</v>
      </c>
      <c r="F422" s="44" t="s">
        <v>717</v>
      </c>
      <c r="G422" s="44"/>
      <c r="H422" s="276">
        <v>494.54</v>
      </c>
    </row>
    <row r="423" spans="1:8" hidden="1" outlineLevel="2" x14ac:dyDescent="0.25">
      <c r="A423" s="44" t="s">
        <v>316</v>
      </c>
      <c r="B423" s="274">
        <v>44491</v>
      </c>
      <c r="C423" s="44" t="s">
        <v>1034</v>
      </c>
      <c r="D423" s="275">
        <v>10400676781</v>
      </c>
      <c r="E423" s="44" t="s">
        <v>716</v>
      </c>
      <c r="F423" s="44" t="s">
        <v>717</v>
      </c>
      <c r="G423" s="44"/>
      <c r="H423" s="276">
        <v>495.85</v>
      </c>
    </row>
    <row r="424" spans="1:8" hidden="1" outlineLevel="2" x14ac:dyDescent="0.25">
      <c r="A424" s="44" t="s">
        <v>316</v>
      </c>
      <c r="B424" s="274">
        <v>44491</v>
      </c>
      <c r="C424" s="44" t="s">
        <v>1034</v>
      </c>
      <c r="D424" s="275">
        <v>10400701977</v>
      </c>
      <c r="E424" s="44" t="s">
        <v>716</v>
      </c>
      <c r="F424" s="44" t="s">
        <v>717</v>
      </c>
      <c r="G424" s="44"/>
      <c r="H424" s="276">
        <v>2454.5500000000002</v>
      </c>
    </row>
    <row r="425" spans="1:8" hidden="1" outlineLevel="2" x14ac:dyDescent="0.25">
      <c r="A425" s="44" t="s">
        <v>316</v>
      </c>
      <c r="B425" s="274">
        <v>44496</v>
      </c>
      <c r="C425" s="44" t="s">
        <v>1034</v>
      </c>
      <c r="D425" s="275">
        <v>65100019922</v>
      </c>
      <c r="E425" s="44" t="s">
        <v>720</v>
      </c>
      <c r="F425" s="44" t="s">
        <v>726</v>
      </c>
      <c r="G425" s="44"/>
      <c r="H425" s="276">
        <v>1922</v>
      </c>
    </row>
    <row r="426" spans="1:8" hidden="1" outlineLevel="2" x14ac:dyDescent="0.25">
      <c r="A426" s="44" t="s">
        <v>316</v>
      </c>
      <c r="B426" s="274">
        <v>44496</v>
      </c>
      <c r="C426" s="44" t="s">
        <v>1034</v>
      </c>
      <c r="D426" s="275">
        <v>65100019922</v>
      </c>
      <c r="E426" s="44" t="s">
        <v>720</v>
      </c>
      <c r="F426" s="44" t="s">
        <v>727</v>
      </c>
      <c r="G426" s="44"/>
      <c r="H426" s="276">
        <v>272</v>
      </c>
    </row>
    <row r="427" spans="1:8" hidden="1" outlineLevel="2" x14ac:dyDescent="0.25">
      <c r="A427" s="44" t="s">
        <v>316</v>
      </c>
      <c r="B427" s="274">
        <v>44500</v>
      </c>
      <c r="C427" s="44" t="s">
        <v>1034</v>
      </c>
      <c r="D427" s="275">
        <v>60000298248</v>
      </c>
      <c r="E427" s="44" t="s">
        <v>718</v>
      </c>
      <c r="F427" s="44" t="s">
        <v>717</v>
      </c>
      <c r="G427" s="44"/>
      <c r="H427" s="276">
        <v>3067.32</v>
      </c>
    </row>
    <row r="428" spans="1:8" hidden="1" outlineLevel="2" x14ac:dyDescent="0.25">
      <c r="A428" s="44" t="s">
        <v>316</v>
      </c>
      <c r="B428" s="274">
        <v>44482</v>
      </c>
      <c r="C428" s="44" t="s">
        <v>1032</v>
      </c>
      <c r="D428" s="275">
        <v>6568</v>
      </c>
      <c r="E428" s="44" t="s">
        <v>846</v>
      </c>
      <c r="F428" s="44" t="s">
        <v>908</v>
      </c>
      <c r="G428" s="44" t="s">
        <v>909</v>
      </c>
      <c r="H428" s="276">
        <v>3426.12</v>
      </c>
    </row>
    <row r="429" spans="1:8" ht="30" hidden="1" outlineLevel="2" x14ac:dyDescent="0.25">
      <c r="A429" s="44" t="s">
        <v>316</v>
      </c>
      <c r="B429" s="274">
        <v>44482</v>
      </c>
      <c r="C429" s="44" t="s">
        <v>1032</v>
      </c>
      <c r="D429" s="275">
        <v>6568</v>
      </c>
      <c r="E429" s="44" t="s">
        <v>846</v>
      </c>
      <c r="F429" s="44" t="s">
        <v>910</v>
      </c>
      <c r="G429" s="44" t="s">
        <v>911</v>
      </c>
      <c r="H429" s="276">
        <v>3275.11</v>
      </c>
    </row>
    <row r="430" spans="1:8" ht="30" hidden="1" outlineLevel="2" x14ac:dyDescent="0.25">
      <c r="A430" s="44" t="s">
        <v>316</v>
      </c>
      <c r="B430" s="274">
        <v>44482</v>
      </c>
      <c r="C430" s="44" t="s">
        <v>1032</v>
      </c>
      <c r="D430" s="275">
        <v>6568</v>
      </c>
      <c r="E430" s="44" t="s">
        <v>846</v>
      </c>
      <c r="F430" s="44" t="s">
        <v>912</v>
      </c>
      <c r="G430" s="44" t="s">
        <v>913</v>
      </c>
      <c r="H430" s="276">
        <v>1321.78</v>
      </c>
    </row>
    <row r="431" spans="1:8" hidden="1" outlineLevel="2" x14ac:dyDescent="0.25">
      <c r="A431" s="44" t="s">
        <v>316</v>
      </c>
      <c r="B431" s="274">
        <v>44482</v>
      </c>
      <c r="C431" s="44" t="s">
        <v>1032</v>
      </c>
      <c r="D431" s="275">
        <v>6568</v>
      </c>
      <c r="E431" s="44" t="s">
        <v>846</v>
      </c>
      <c r="F431" s="44" t="s">
        <v>213</v>
      </c>
      <c r="G431" s="44" t="s">
        <v>864</v>
      </c>
      <c r="H431" s="276">
        <v>72.98</v>
      </c>
    </row>
    <row r="432" spans="1:8" ht="30" hidden="1" outlineLevel="2" x14ac:dyDescent="0.25">
      <c r="A432" s="44" t="s">
        <v>316</v>
      </c>
      <c r="B432" s="274">
        <v>44482</v>
      </c>
      <c r="C432" s="44" t="s">
        <v>1032</v>
      </c>
      <c r="D432" s="275">
        <v>6568</v>
      </c>
      <c r="E432" s="44" t="s">
        <v>846</v>
      </c>
      <c r="F432" s="44" t="s">
        <v>857</v>
      </c>
      <c r="G432" s="44" t="s">
        <v>858</v>
      </c>
      <c r="H432" s="276">
        <v>1852.83</v>
      </c>
    </row>
    <row r="433" spans="1:8" hidden="1" outlineLevel="2" x14ac:dyDescent="0.25">
      <c r="A433" s="44" t="s">
        <v>316</v>
      </c>
      <c r="B433" s="274">
        <v>44482</v>
      </c>
      <c r="C433" s="44" t="s">
        <v>1032</v>
      </c>
      <c r="D433" s="275">
        <v>6568</v>
      </c>
      <c r="E433" s="44" t="s">
        <v>846</v>
      </c>
      <c r="F433" s="44" t="s">
        <v>866</v>
      </c>
      <c r="G433" s="44" t="s">
        <v>854</v>
      </c>
      <c r="H433" s="276">
        <v>5676.19</v>
      </c>
    </row>
    <row r="434" spans="1:8" hidden="1" outlineLevel="2" x14ac:dyDescent="0.25">
      <c r="A434" s="44" t="s">
        <v>316</v>
      </c>
      <c r="B434" s="274">
        <v>44482</v>
      </c>
      <c r="C434" s="44" t="s">
        <v>1032</v>
      </c>
      <c r="D434" s="275">
        <v>6568</v>
      </c>
      <c r="E434" s="44" t="s">
        <v>846</v>
      </c>
      <c r="F434" s="44" t="s">
        <v>859</v>
      </c>
      <c r="G434" s="44" t="s">
        <v>860</v>
      </c>
      <c r="H434" s="276">
        <v>1665.8</v>
      </c>
    </row>
    <row r="435" spans="1:8" hidden="1" outlineLevel="2" x14ac:dyDescent="0.25">
      <c r="A435" s="44" t="s">
        <v>316</v>
      </c>
      <c r="B435" s="274">
        <v>44489</v>
      </c>
      <c r="C435" s="44" t="s">
        <v>1032</v>
      </c>
      <c r="D435" s="275">
        <v>6597</v>
      </c>
      <c r="E435" s="44" t="s">
        <v>846</v>
      </c>
      <c r="F435" s="44" t="s">
        <v>875</v>
      </c>
      <c r="G435" s="44" t="s">
        <v>898</v>
      </c>
      <c r="H435" s="276">
        <v>144.68</v>
      </c>
    </row>
    <row r="436" spans="1:8" hidden="1" outlineLevel="2" x14ac:dyDescent="0.25">
      <c r="A436" s="44" t="s">
        <v>316</v>
      </c>
      <c r="B436" s="274">
        <v>44489</v>
      </c>
      <c r="C436" s="44" t="s">
        <v>1032</v>
      </c>
      <c r="D436" s="275">
        <v>6597</v>
      </c>
      <c r="E436" s="44" t="s">
        <v>846</v>
      </c>
      <c r="F436" s="44" t="s">
        <v>875</v>
      </c>
      <c r="G436" s="44" t="s">
        <v>876</v>
      </c>
      <c r="H436" s="276">
        <v>70.8</v>
      </c>
    </row>
    <row r="437" spans="1:8" outlineLevel="1" collapsed="1" x14ac:dyDescent="0.25">
      <c r="A437" s="282" t="s">
        <v>657</v>
      </c>
      <c r="B437" s="741"/>
      <c r="C437" s="742"/>
      <c r="D437" s="742"/>
      <c r="E437" s="742"/>
      <c r="F437" s="742"/>
      <c r="G437" s="743"/>
      <c r="H437" s="285">
        <f>SUBTOTAL(9,H415:H436)</f>
        <v>38730.340000000011</v>
      </c>
    </row>
    <row r="438" spans="1:8" hidden="1" outlineLevel="2" x14ac:dyDescent="0.25">
      <c r="A438" s="44" t="s">
        <v>319</v>
      </c>
      <c r="B438" s="274">
        <v>44470</v>
      </c>
      <c r="C438" s="44" t="s">
        <v>1034</v>
      </c>
      <c r="D438" s="275">
        <v>500033638</v>
      </c>
      <c r="E438" s="44" t="s">
        <v>713</v>
      </c>
      <c r="F438" s="44" t="s">
        <v>714</v>
      </c>
      <c r="G438" s="44"/>
      <c r="H438" s="276">
        <v>1791.53</v>
      </c>
    </row>
    <row r="439" spans="1:8" hidden="1" outlineLevel="2" x14ac:dyDescent="0.25">
      <c r="A439" s="44" t="s">
        <v>319</v>
      </c>
      <c r="B439" s="274">
        <v>44470</v>
      </c>
      <c r="C439" s="44" t="s">
        <v>1034</v>
      </c>
      <c r="D439" s="275">
        <v>10400578195</v>
      </c>
      <c r="E439" s="44" t="s">
        <v>716</v>
      </c>
      <c r="F439" s="44" t="s">
        <v>717</v>
      </c>
      <c r="G439" s="44"/>
      <c r="H439" s="276">
        <v>4966.9799999999996</v>
      </c>
    </row>
    <row r="440" spans="1:8" hidden="1" outlineLevel="2" x14ac:dyDescent="0.25">
      <c r="A440" s="44" t="s">
        <v>319</v>
      </c>
      <c r="B440" s="274">
        <v>44470</v>
      </c>
      <c r="C440" s="44" t="s">
        <v>1034</v>
      </c>
      <c r="D440" s="275">
        <v>60000274229</v>
      </c>
      <c r="E440" s="44" t="s">
        <v>718</v>
      </c>
      <c r="F440" s="44" t="s">
        <v>717</v>
      </c>
      <c r="G440" s="44"/>
      <c r="H440" s="276">
        <v>2363.12</v>
      </c>
    </row>
    <row r="441" spans="1:8" hidden="1" outlineLevel="2" x14ac:dyDescent="0.25">
      <c r="A441" s="44" t="s">
        <v>319</v>
      </c>
      <c r="B441" s="274">
        <v>44470</v>
      </c>
      <c r="C441" s="44" t="s">
        <v>1034</v>
      </c>
      <c r="D441" s="275">
        <v>60000285996</v>
      </c>
      <c r="E441" s="44" t="s">
        <v>718</v>
      </c>
      <c r="F441" s="44" t="s">
        <v>717</v>
      </c>
      <c r="G441" s="44"/>
      <c r="H441" s="276">
        <v>2041.73</v>
      </c>
    </row>
    <row r="442" spans="1:8" ht="30" hidden="1" outlineLevel="2" x14ac:dyDescent="0.25">
      <c r="A442" s="44" t="s">
        <v>319</v>
      </c>
      <c r="B442" s="274">
        <v>44473</v>
      </c>
      <c r="C442" s="44" t="s">
        <v>1034</v>
      </c>
      <c r="D442" s="275">
        <v>6100301594</v>
      </c>
      <c r="E442" s="44" t="s">
        <v>730</v>
      </c>
      <c r="F442" s="44" t="s">
        <v>717</v>
      </c>
      <c r="G442" s="44"/>
      <c r="H442" s="276">
        <v>686</v>
      </c>
    </row>
    <row r="443" spans="1:8" hidden="1" outlineLevel="2" x14ac:dyDescent="0.25">
      <c r="A443" s="44" t="s">
        <v>319</v>
      </c>
      <c r="B443" s="274">
        <v>44474</v>
      </c>
      <c r="C443" s="44" t="s">
        <v>1034</v>
      </c>
      <c r="D443" s="275">
        <v>200000058</v>
      </c>
      <c r="E443" s="44" t="s">
        <v>733</v>
      </c>
      <c r="F443" s="44" t="s">
        <v>738</v>
      </c>
      <c r="G443" s="44"/>
      <c r="H443" s="276">
        <v>5000</v>
      </c>
    </row>
    <row r="444" spans="1:8" hidden="1" outlineLevel="2" x14ac:dyDescent="0.25">
      <c r="A444" s="44" t="s">
        <v>319</v>
      </c>
      <c r="B444" s="274">
        <v>44474</v>
      </c>
      <c r="C444" s="44" t="s">
        <v>1034</v>
      </c>
      <c r="D444" s="275">
        <v>200000058</v>
      </c>
      <c r="E444" s="44" t="s">
        <v>733</v>
      </c>
      <c r="F444" s="44" t="s">
        <v>806</v>
      </c>
      <c r="G444" s="44"/>
      <c r="H444" s="276">
        <v>5400</v>
      </c>
    </row>
    <row r="445" spans="1:8" hidden="1" outlineLevel="2" x14ac:dyDescent="0.25">
      <c r="A445" s="44" t="s">
        <v>319</v>
      </c>
      <c r="B445" s="274">
        <v>44484</v>
      </c>
      <c r="C445" s="44" t="s">
        <v>1034</v>
      </c>
      <c r="D445" s="275">
        <v>501300183869</v>
      </c>
      <c r="E445" s="44" t="s">
        <v>723</v>
      </c>
      <c r="F445" s="44" t="s">
        <v>717</v>
      </c>
      <c r="G445" s="44"/>
      <c r="H445" s="276">
        <v>156.97</v>
      </c>
    </row>
    <row r="446" spans="1:8" hidden="1" outlineLevel="2" x14ac:dyDescent="0.25">
      <c r="A446" s="44" t="s">
        <v>319</v>
      </c>
      <c r="B446" s="274">
        <v>44491</v>
      </c>
      <c r="C446" s="44" t="s">
        <v>1034</v>
      </c>
      <c r="D446" s="275">
        <v>10400676781</v>
      </c>
      <c r="E446" s="44" t="s">
        <v>716</v>
      </c>
      <c r="F446" s="44" t="s">
        <v>717</v>
      </c>
      <c r="G446" s="44"/>
      <c r="H446" s="276">
        <v>1000</v>
      </c>
    </row>
    <row r="447" spans="1:8" hidden="1" outlineLevel="2" x14ac:dyDescent="0.25">
      <c r="A447" s="44" t="s">
        <v>319</v>
      </c>
      <c r="B447" s="274">
        <v>44491</v>
      </c>
      <c r="C447" s="44" t="s">
        <v>1034</v>
      </c>
      <c r="D447" s="275">
        <v>10400701977</v>
      </c>
      <c r="E447" s="44" t="s">
        <v>716</v>
      </c>
      <c r="F447" s="44" t="s">
        <v>717</v>
      </c>
      <c r="G447" s="44"/>
      <c r="H447" s="276">
        <v>1786.76</v>
      </c>
    </row>
    <row r="448" spans="1:8" hidden="1" outlineLevel="2" x14ac:dyDescent="0.25">
      <c r="A448" s="44" t="s">
        <v>319</v>
      </c>
      <c r="B448" s="274">
        <v>44496</v>
      </c>
      <c r="C448" s="44" t="s">
        <v>1034</v>
      </c>
      <c r="D448" s="275">
        <v>200025670</v>
      </c>
      <c r="E448" s="44" t="s">
        <v>748</v>
      </c>
      <c r="F448" s="44" t="s">
        <v>830</v>
      </c>
      <c r="G448" s="44"/>
      <c r="H448" s="276">
        <v>158.4</v>
      </c>
    </row>
    <row r="449" spans="1:8" hidden="1" outlineLevel="2" x14ac:dyDescent="0.25">
      <c r="A449" s="44" t="s">
        <v>319</v>
      </c>
      <c r="B449" s="274">
        <v>44496</v>
      </c>
      <c r="C449" s="44" t="s">
        <v>1034</v>
      </c>
      <c r="D449" s="275">
        <v>200025670</v>
      </c>
      <c r="E449" s="44" t="s">
        <v>748</v>
      </c>
      <c r="F449" s="44" t="s">
        <v>831</v>
      </c>
      <c r="G449" s="44"/>
      <c r="H449" s="276">
        <v>18.75</v>
      </c>
    </row>
    <row r="450" spans="1:8" hidden="1" outlineLevel="2" x14ac:dyDescent="0.25">
      <c r="A450" s="44" t="s">
        <v>319</v>
      </c>
      <c r="B450" s="274">
        <v>44496</v>
      </c>
      <c r="C450" s="44" t="s">
        <v>1034</v>
      </c>
      <c r="D450" s="275">
        <v>200025670</v>
      </c>
      <c r="E450" s="44" t="s">
        <v>748</v>
      </c>
      <c r="F450" s="44" t="s">
        <v>832</v>
      </c>
      <c r="G450" s="44"/>
      <c r="H450" s="276">
        <v>14.08</v>
      </c>
    </row>
    <row r="451" spans="1:8" hidden="1" outlineLevel="2" x14ac:dyDescent="0.25">
      <c r="A451" s="44" t="s">
        <v>319</v>
      </c>
      <c r="B451" s="274">
        <v>44496</v>
      </c>
      <c r="C451" s="44" t="s">
        <v>1034</v>
      </c>
      <c r="D451" s="275">
        <v>200025670</v>
      </c>
      <c r="E451" s="44" t="s">
        <v>748</v>
      </c>
      <c r="F451" s="44" t="s">
        <v>833</v>
      </c>
      <c r="G451" s="44"/>
      <c r="H451" s="276">
        <v>864.83</v>
      </c>
    </row>
    <row r="452" spans="1:8" hidden="1" outlineLevel="2" x14ac:dyDescent="0.25">
      <c r="A452" s="44" t="s">
        <v>319</v>
      </c>
      <c r="B452" s="274">
        <v>44500</v>
      </c>
      <c r="C452" s="44" t="s">
        <v>1034</v>
      </c>
      <c r="D452" s="275">
        <v>60000298248</v>
      </c>
      <c r="E452" s="44" t="s">
        <v>718</v>
      </c>
      <c r="F452" s="44" t="s">
        <v>717</v>
      </c>
      <c r="G452" s="44"/>
      <c r="H452" s="276">
        <v>1827.18</v>
      </c>
    </row>
    <row r="453" spans="1:8" hidden="1" outlineLevel="2" x14ac:dyDescent="0.25">
      <c r="A453" s="44" t="s">
        <v>319</v>
      </c>
      <c r="B453" s="274">
        <v>44470</v>
      </c>
      <c r="C453" s="44" t="s">
        <v>1036</v>
      </c>
      <c r="D453" s="275">
        <v>100004931</v>
      </c>
      <c r="E453" s="44" t="s">
        <v>1023</v>
      </c>
      <c r="F453" s="44" t="s">
        <v>937</v>
      </c>
      <c r="G453" s="44"/>
      <c r="H453" s="269">
        <v>9625.6198000000004</v>
      </c>
    </row>
    <row r="454" spans="1:8" outlineLevel="1" collapsed="1" x14ac:dyDescent="0.25">
      <c r="A454" s="282" t="s">
        <v>658</v>
      </c>
      <c r="B454" s="751"/>
      <c r="C454" s="751"/>
      <c r="D454" s="751"/>
      <c r="E454" s="751"/>
      <c r="F454" s="751"/>
      <c r="G454" s="751"/>
      <c r="H454" s="285">
        <f>SUBTOTAL(9,H438:H453)</f>
        <v>37701.949800000002</v>
      </c>
    </row>
    <row r="455" spans="1:8" ht="30" x14ac:dyDescent="0.25">
      <c r="A455" s="272" t="s">
        <v>1086</v>
      </c>
      <c r="B455" s="750"/>
      <c r="C455" s="750"/>
      <c r="D455" s="750"/>
      <c r="E455" s="750"/>
      <c r="F455" s="750"/>
      <c r="G455" s="750"/>
      <c r="H455" s="273">
        <f>SUBTOTAL(9,H4:H453)</f>
        <v>1098857.2966830006</v>
      </c>
    </row>
  </sheetData>
  <mergeCells count="23">
    <mergeCell ref="A1:H1"/>
    <mergeCell ref="B239:G239"/>
    <mergeCell ref="B209:G209"/>
    <mergeCell ref="B150:G150"/>
    <mergeCell ref="B161:G161"/>
    <mergeCell ref="B129:G129"/>
    <mergeCell ref="B112:G112"/>
    <mergeCell ref="B87:G87"/>
    <mergeCell ref="B65:G65"/>
    <mergeCell ref="B23:G23"/>
    <mergeCell ref="B455:G455"/>
    <mergeCell ref="B454:G454"/>
    <mergeCell ref="B44:G44"/>
    <mergeCell ref="B320:G320"/>
    <mergeCell ref="B302:G302"/>
    <mergeCell ref="B293:G293"/>
    <mergeCell ref="B281:G281"/>
    <mergeCell ref="B256:G256"/>
    <mergeCell ref="B437:G437"/>
    <mergeCell ref="B414:G414"/>
    <mergeCell ref="B398:G398"/>
    <mergeCell ref="B367:G367"/>
    <mergeCell ref="B346:G346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C000"/>
  </sheetPr>
  <dimension ref="A1:H211"/>
  <sheetViews>
    <sheetView workbookViewId="0">
      <selection activeCell="B37" sqref="B37:G37"/>
    </sheetView>
  </sheetViews>
  <sheetFormatPr baseColWidth="10" defaultRowHeight="15" outlineLevelRow="2" x14ac:dyDescent="0.25"/>
  <cols>
    <col min="1" max="1" width="14.42578125" style="290" bestFit="1" customWidth="1"/>
    <col min="2" max="2" width="10.7109375" style="290" customWidth="1"/>
    <col min="3" max="3" width="11.7109375" style="290" customWidth="1"/>
    <col min="4" max="4" width="13" style="290" customWidth="1"/>
    <col min="5" max="5" width="28.28515625" style="290" customWidth="1"/>
    <col min="6" max="6" width="49.7109375" style="290" customWidth="1"/>
    <col min="7" max="7" width="29" style="290" customWidth="1"/>
    <col min="8" max="8" width="12.42578125" style="290" bestFit="1" customWidth="1"/>
    <col min="9" max="16384" width="11.42578125" style="290"/>
  </cols>
  <sheetData>
    <row r="1" spans="1:8" x14ac:dyDescent="0.25">
      <c r="A1" s="756" t="s">
        <v>1088</v>
      </c>
      <c r="B1" s="756"/>
      <c r="C1" s="756"/>
      <c r="D1" s="756"/>
      <c r="E1" s="756"/>
      <c r="F1" s="756"/>
      <c r="G1" s="756"/>
      <c r="H1" s="756"/>
    </row>
    <row r="3" spans="1:8" x14ac:dyDescent="0.25">
      <c r="A3" s="272" t="s">
        <v>506</v>
      </c>
      <c r="B3" s="272" t="s">
        <v>525</v>
      </c>
      <c r="C3" s="272" t="s">
        <v>1026</v>
      </c>
      <c r="D3" s="272" t="s">
        <v>1027</v>
      </c>
      <c r="E3" s="272" t="s">
        <v>1028</v>
      </c>
      <c r="F3" s="272" t="s">
        <v>1029</v>
      </c>
      <c r="G3" s="272" t="s">
        <v>1030</v>
      </c>
      <c r="H3" s="273" t="s">
        <v>507</v>
      </c>
    </row>
    <row r="4" spans="1:8" hidden="1" outlineLevel="2" x14ac:dyDescent="0.25">
      <c r="A4" s="44" t="s">
        <v>440</v>
      </c>
      <c r="B4" s="274">
        <v>44470</v>
      </c>
      <c r="C4" s="44" t="s">
        <v>1034</v>
      </c>
      <c r="D4" s="275">
        <v>500033638</v>
      </c>
      <c r="E4" s="44" t="s">
        <v>713</v>
      </c>
      <c r="F4" s="44" t="s">
        <v>714</v>
      </c>
      <c r="G4" s="44"/>
      <c r="H4" s="276">
        <v>1252.6099999999999</v>
      </c>
    </row>
    <row r="5" spans="1:8" outlineLevel="1" collapsed="1" x14ac:dyDescent="0.25">
      <c r="A5" s="292" t="s">
        <v>1037</v>
      </c>
      <c r="B5" s="752"/>
      <c r="C5" s="753"/>
      <c r="D5" s="753"/>
      <c r="E5" s="753"/>
      <c r="F5" s="753"/>
      <c r="G5" s="754"/>
      <c r="H5" s="293">
        <f>SUBTOTAL(9,H4:H4)</f>
        <v>1252.6099999999999</v>
      </c>
    </row>
    <row r="6" spans="1:8" hidden="1" outlineLevel="2" x14ac:dyDescent="0.25">
      <c r="A6" s="44" t="s">
        <v>442</v>
      </c>
      <c r="B6" s="274">
        <v>44470</v>
      </c>
      <c r="C6" s="44" t="s">
        <v>1034</v>
      </c>
      <c r="D6" s="275">
        <v>500033638</v>
      </c>
      <c r="E6" s="44" t="s">
        <v>713</v>
      </c>
      <c r="F6" s="44" t="s">
        <v>714</v>
      </c>
      <c r="G6" s="44"/>
      <c r="H6" s="276">
        <v>1252.6099999999999</v>
      </c>
    </row>
    <row r="7" spans="1:8" outlineLevel="1" collapsed="1" x14ac:dyDescent="0.25">
      <c r="A7" s="292" t="s">
        <v>1038</v>
      </c>
      <c r="B7" s="752"/>
      <c r="C7" s="753"/>
      <c r="D7" s="753"/>
      <c r="E7" s="753"/>
      <c r="F7" s="753"/>
      <c r="G7" s="754"/>
      <c r="H7" s="293">
        <f>SUBTOTAL(9,H6:H6)</f>
        <v>1252.6099999999999</v>
      </c>
    </row>
    <row r="8" spans="1:8" hidden="1" outlineLevel="2" x14ac:dyDescent="0.25">
      <c r="A8" s="44" t="s">
        <v>438</v>
      </c>
      <c r="B8" s="274">
        <v>44470</v>
      </c>
      <c r="C8" s="44" t="s">
        <v>1034</v>
      </c>
      <c r="D8" s="275">
        <v>500033638</v>
      </c>
      <c r="E8" s="44" t="s">
        <v>713</v>
      </c>
      <c r="F8" s="44" t="s">
        <v>714</v>
      </c>
      <c r="G8" s="44"/>
      <c r="H8" s="276">
        <v>1252.6099999999999</v>
      </c>
    </row>
    <row r="9" spans="1:8" outlineLevel="1" collapsed="1" x14ac:dyDescent="0.25">
      <c r="A9" s="292" t="s">
        <v>1039</v>
      </c>
      <c r="B9" s="752"/>
      <c r="C9" s="753"/>
      <c r="D9" s="753"/>
      <c r="E9" s="753"/>
      <c r="F9" s="753"/>
      <c r="G9" s="754"/>
      <c r="H9" s="293">
        <f>SUBTOTAL(9,H8:H8)</f>
        <v>1252.6099999999999</v>
      </c>
    </row>
    <row r="10" spans="1:8" hidden="1" outlineLevel="2" x14ac:dyDescent="0.25">
      <c r="A10" s="44" t="s">
        <v>246</v>
      </c>
      <c r="B10" s="274">
        <v>44474</v>
      </c>
      <c r="C10" s="44" t="s">
        <v>1034</v>
      </c>
      <c r="D10" s="275">
        <v>200000058</v>
      </c>
      <c r="E10" s="44" t="s">
        <v>733</v>
      </c>
      <c r="F10" s="44" t="s">
        <v>734</v>
      </c>
      <c r="G10" s="44"/>
      <c r="H10" s="276">
        <v>1300</v>
      </c>
    </row>
    <row r="11" spans="1:8" ht="30" hidden="1" outlineLevel="2" x14ac:dyDescent="0.25">
      <c r="A11" s="44" t="s">
        <v>246</v>
      </c>
      <c r="B11" s="274">
        <v>44482</v>
      </c>
      <c r="C11" s="44" t="s">
        <v>1032</v>
      </c>
      <c r="D11" s="275">
        <v>6567</v>
      </c>
      <c r="E11" s="44" t="s">
        <v>846</v>
      </c>
      <c r="F11" s="44" t="s">
        <v>861</v>
      </c>
      <c r="G11" s="44" t="s">
        <v>862</v>
      </c>
      <c r="H11" s="276">
        <v>154.80000000000001</v>
      </c>
    </row>
    <row r="12" spans="1:8" hidden="1" outlineLevel="2" x14ac:dyDescent="0.25">
      <c r="A12" s="44" t="s">
        <v>246</v>
      </c>
      <c r="B12" s="274">
        <v>44482</v>
      </c>
      <c r="C12" s="44" t="s">
        <v>1032</v>
      </c>
      <c r="D12" s="275">
        <v>6567</v>
      </c>
      <c r="E12" s="44" t="s">
        <v>846</v>
      </c>
      <c r="F12" s="44" t="s">
        <v>863</v>
      </c>
      <c r="G12" s="44">
        <v>72328</v>
      </c>
      <c r="H12" s="276">
        <v>361.62</v>
      </c>
    </row>
    <row r="13" spans="1:8" outlineLevel="1" collapsed="1" x14ac:dyDescent="0.25">
      <c r="A13" s="286" t="s">
        <v>1040</v>
      </c>
      <c r="B13" s="738"/>
      <c r="C13" s="739"/>
      <c r="D13" s="739"/>
      <c r="E13" s="739"/>
      <c r="F13" s="739"/>
      <c r="G13" s="740"/>
      <c r="H13" s="288">
        <f>SUBTOTAL(9,H10:H12)</f>
        <v>1816.42</v>
      </c>
    </row>
    <row r="14" spans="1:8" hidden="1" outlineLevel="2" x14ac:dyDescent="0.25">
      <c r="A14" s="44" t="s">
        <v>142</v>
      </c>
      <c r="B14" s="274">
        <v>44495</v>
      </c>
      <c r="C14" s="44" t="s">
        <v>1034</v>
      </c>
      <c r="D14" s="275">
        <v>500003105</v>
      </c>
      <c r="E14" s="44" t="s">
        <v>724</v>
      </c>
      <c r="F14" s="44" t="s">
        <v>735</v>
      </c>
      <c r="G14" s="44"/>
      <c r="H14" s="276">
        <v>1441.02</v>
      </c>
    </row>
    <row r="15" spans="1:8" outlineLevel="1" collapsed="1" x14ac:dyDescent="0.25">
      <c r="A15" s="286" t="s">
        <v>1041</v>
      </c>
      <c r="B15" s="738"/>
      <c r="C15" s="739"/>
      <c r="D15" s="739"/>
      <c r="E15" s="739"/>
      <c r="F15" s="739"/>
      <c r="G15" s="740"/>
      <c r="H15" s="288">
        <f>SUBTOTAL(9,H14:H14)</f>
        <v>1441.02</v>
      </c>
    </row>
    <row r="16" spans="1:8" hidden="1" outlineLevel="2" x14ac:dyDescent="0.25">
      <c r="A16" s="44" t="s">
        <v>147</v>
      </c>
      <c r="B16" s="274">
        <v>44474</v>
      </c>
      <c r="C16" s="44" t="s">
        <v>1034</v>
      </c>
      <c r="D16" s="275">
        <v>200000058</v>
      </c>
      <c r="E16" s="44" t="s">
        <v>733</v>
      </c>
      <c r="F16" s="44" t="s">
        <v>746</v>
      </c>
      <c r="G16" s="44"/>
      <c r="H16" s="276">
        <v>1300</v>
      </c>
    </row>
    <row r="17" spans="1:8" hidden="1" outlineLevel="2" x14ac:dyDescent="0.25">
      <c r="A17" s="278" t="s">
        <v>147</v>
      </c>
      <c r="B17" s="279">
        <v>44474</v>
      </c>
      <c r="C17" s="278" t="s">
        <v>1033</v>
      </c>
      <c r="D17" s="275">
        <v>7653</v>
      </c>
      <c r="E17" s="278" t="s">
        <v>841</v>
      </c>
      <c r="F17" s="278" t="s">
        <v>842</v>
      </c>
      <c r="G17" s="278"/>
      <c r="H17" s="269">
        <v>650</v>
      </c>
    </row>
    <row r="18" spans="1:8" hidden="1" outlineLevel="2" x14ac:dyDescent="0.25">
      <c r="A18" s="44" t="s">
        <v>147</v>
      </c>
      <c r="B18" s="274">
        <v>44481</v>
      </c>
      <c r="C18" s="44" t="s">
        <v>1032</v>
      </c>
      <c r="D18" s="275">
        <v>6563</v>
      </c>
      <c r="E18" s="44" t="s">
        <v>846</v>
      </c>
      <c r="F18" s="44" t="s">
        <v>867</v>
      </c>
      <c r="G18" s="44" t="s">
        <v>868</v>
      </c>
      <c r="H18" s="276">
        <v>143.5</v>
      </c>
    </row>
    <row r="19" spans="1:8" hidden="1" outlineLevel="2" x14ac:dyDescent="0.25">
      <c r="A19" s="44" t="s">
        <v>147</v>
      </c>
      <c r="B19" s="274">
        <v>44481</v>
      </c>
      <c r="C19" s="44" t="s">
        <v>1032</v>
      </c>
      <c r="D19" s="275">
        <v>6563</v>
      </c>
      <c r="E19" s="44" t="s">
        <v>846</v>
      </c>
      <c r="F19" s="44" t="s">
        <v>213</v>
      </c>
      <c r="G19" s="44" t="s">
        <v>864</v>
      </c>
      <c r="H19" s="276">
        <v>72.98</v>
      </c>
    </row>
    <row r="20" spans="1:8" ht="30" hidden="1" outlineLevel="2" x14ac:dyDescent="0.25">
      <c r="A20" s="44" t="s">
        <v>147</v>
      </c>
      <c r="B20" s="274">
        <v>44482</v>
      </c>
      <c r="C20" s="44" t="s">
        <v>1032</v>
      </c>
      <c r="D20" s="275">
        <v>6569</v>
      </c>
      <c r="E20" s="44" t="s">
        <v>846</v>
      </c>
      <c r="F20" s="44" t="s">
        <v>869</v>
      </c>
      <c r="G20" s="44" t="s">
        <v>870</v>
      </c>
      <c r="H20" s="276">
        <v>1468.83</v>
      </c>
    </row>
    <row r="21" spans="1:8" hidden="1" outlineLevel="2" x14ac:dyDescent="0.25">
      <c r="A21" s="44" t="s">
        <v>147</v>
      </c>
      <c r="B21" s="274">
        <v>44496</v>
      </c>
      <c r="C21" s="44" t="s">
        <v>1032</v>
      </c>
      <c r="D21" s="275">
        <v>6643</v>
      </c>
      <c r="E21" s="44" t="s">
        <v>846</v>
      </c>
      <c r="F21" s="44" t="s">
        <v>867</v>
      </c>
      <c r="G21" s="44" t="s">
        <v>868</v>
      </c>
      <c r="H21" s="276">
        <v>143.5</v>
      </c>
    </row>
    <row r="22" spans="1:8" hidden="1" outlineLevel="2" x14ac:dyDescent="0.25">
      <c r="A22" s="44" t="s">
        <v>147</v>
      </c>
      <c r="B22" s="274">
        <v>44473</v>
      </c>
      <c r="C22" s="44" t="s">
        <v>1036</v>
      </c>
      <c r="D22" s="275">
        <v>100004933</v>
      </c>
      <c r="E22" s="44" t="s">
        <v>936</v>
      </c>
      <c r="F22" s="44" t="s">
        <v>937</v>
      </c>
      <c r="G22" s="44"/>
      <c r="H22" s="269">
        <v>8220.6614000000009</v>
      </c>
    </row>
    <row r="23" spans="1:8" hidden="1" outlineLevel="2" x14ac:dyDescent="0.25">
      <c r="A23" s="44" t="s">
        <v>147</v>
      </c>
      <c r="B23" s="274">
        <v>44476</v>
      </c>
      <c r="C23" s="44" t="s">
        <v>1036</v>
      </c>
      <c r="D23" s="275">
        <v>100004938</v>
      </c>
      <c r="E23" s="44" t="s">
        <v>938</v>
      </c>
      <c r="F23" s="44" t="s">
        <v>938</v>
      </c>
      <c r="G23" s="44"/>
      <c r="H23" s="269">
        <v>250</v>
      </c>
    </row>
    <row r="24" spans="1:8" outlineLevel="1" collapsed="1" x14ac:dyDescent="0.25">
      <c r="A24" s="286" t="s">
        <v>1042</v>
      </c>
      <c r="B24" s="738"/>
      <c r="C24" s="739"/>
      <c r="D24" s="739"/>
      <c r="E24" s="739"/>
      <c r="F24" s="739"/>
      <c r="G24" s="740"/>
      <c r="H24" s="288">
        <f>SUBTOTAL(9,H16:H23)</f>
        <v>12249.4714</v>
      </c>
    </row>
    <row r="25" spans="1:8" hidden="1" outlineLevel="2" x14ac:dyDescent="0.25">
      <c r="A25" s="44" t="s">
        <v>499</v>
      </c>
      <c r="B25" s="274">
        <v>44470</v>
      </c>
      <c r="C25" s="44" t="s">
        <v>1034</v>
      </c>
      <c r="D25" s="275">
        <v>500033638</v>
      </c>
      <c r="E25" s="44" t="s">
        <v>713</v>
      </c>
      <c r="F25" s="44" t="s">
        <v>714</v>
      </c>
      <c r="G25" s="44"/>
      <c r="H25" s="276">
        <v>1252.6099999999999</v>
      </c>
    </row>
    <row r="26" spans="1:8" outlineLevel="1" collapsed="1" x14ac:dyDescent="0.25">
      <c r="A26" s="292" t="s">
        <v>1043</v>
      </c>
      <c r="B26" s="752"/>
      <c r="C26" s="753"/>
      <c r="D26" s="753"/>
      <c r="E26" s="753"/>
      <c r="F26" s="753"/>
      <c r="G26" s="754"/>
      <c r="H26" s="293">
        <f>SUBTOTAL(9,H25:H25)</f>
        <v>1252.6099999999999</v>
      </c>
    </row>
    <row r="27" spans="1:8" hidden="1" outlineLevel="2" x14ac:dyDescent="0.25">
      <c r="A27" s="44" t="s">
        <v>292</v>
      </c>
      <c r="B27" s="274">
        <v>44470</v>
      </c>
      <c r="C27" s="44" t="s">
        <v>1034</v>
      </c>
      <c r="D27" s="275">
        <v>500033638</v>
      </c>
      <c r="E27" s="44" t="s">
        <v>713</v>
      </c>
      <c r="F27" s="44" t="s">
        <v>714</v>
      </c>
      <c r="G27" s="44"/>
      <c r="H27" s="276">
        <v>1252.6099999999999</v>
      </c>
    </row>
    <row r="28" spans="1:8" hidden="1" outlineLevel="2" x14ac:dyDescent="0.25">
      <c r="A28" s="44" t="s">
        <v>292</v>
      </c>
      <c r="B28" s="274">
        <v>44484</v>
      </c>
      <c r="C28" s="44" t="s">
        <v>1032</v>
      </c>
      <c r="D28" s="275">
        <v>6586</v>
      </c>
      <c r="E28" s="44" t="s">
        <v>846</v>
      </c>
      <c r="F28" s="44" t="s">
        <v>871</v>
      </c>
      <c r="G28" s="44" t="s">
        <v>872</v>
      </c>
      <c r="H28" s="276">
        <v>4293.6000000000004</v>
      </c>
    </row>
    <row r="29" spans="1:8" hidden="1" outlineLevel="2" x14ac:dyDescent="0.25">
      <c r="A29" s="44" t="s">
        <v>292</v>
      </c>
      <c r="B29" s="274">
        <v>44470</v>
      </c>
      <c r="C29" s="44" t="s">
        <v>1036</v>
      </c>
      <c r="D29" s="275">
        <v>100004929</v>
      </c>
      <c r="E29" s="44" t="s">
        <v>939</v>
      </c>
      <c r="F29" s="44" t="s">
        <v>940</v>
      </c>
      <c r="G29" s="44" t="s">
        <v>941</v>
      </c>
      <c r="H29" s="269">
        <v>800</v>
      </c>
    </row>
    <row r="30" spans="1:8" outlineLevel="1" collapsed="1" x14ac:dyDescent="0.25">
      <c r="A30" s="292" t="s">
        <v>1044</v>
      </c>
      <c r="B30" s="752"/>
      <c r="C30" s="753"/>
      <c r="D30" s="753"/>
      <c r="E30" s="753"/>
      <c r="F30" s="753"/>
      <c r="G30" s="754"/>
      <c r="H30" s="293">
        <f>SUBTOTAL(9,H27:H29)</f>
        <v>6346.21</v>
      </c>
    </row>
    <row r="31" spans="1:8" hidden="1" outlineLevel="2" x14ac:dyDescent="0.25">
      <c r="A31" s="44" t="s">
        <v>229</v>
      </c>
      <c r="B31" s="274">
        <v>44474</v>
      </c>
      <c r="C31" s="44" t="s">
        <v>1034</v>
      </c>
      <c r="D31" s="275">
        <v>200000058</v>
      </c>
      <c r="E31" s="44" t="s">
        <v>733</v>
      </c>
      <c r="F31" s="44" t="s">
        <v>747</v>
      </c>
      <c r="G31" s="44"/>
      <c r="H31" s="276">
        <v>2100</v>
      </c>
    </row>
    <row r="32" spans="1:8" hidden="1" outlineLevel="2" x14ac:dyDescent="0.25">
      <c r="A32" s="44" t="s">
        <v>229</v>
      </c>
      <c r="B32" s="274">
        <v>44474</v>
      </c>
      <c r="C32" s="44" t="s">
        <v>1034</v>
      </c>
      <c r="D32" s="275">
        <v>200000058</v>
      </c>
      <c r="E32" s="44" t="s">
        <v>733</v>
      </c>
      <c r="F32" s="44" t="s">
        <v>734</v>
      </c>
      <c r="G32" s="44"/>
      <c r="H32" s="276">
        <v>1300</v>
      </c>
    </row>
    <row r="33" spans="1:8" ht="30" hidden="1" outlineLevel="2" x14ac:dyDescent="0.25">
      <c r="A33" s="44" t="s">
        <v>229</v>
      </c>
      <c r="B33" s="274">
        <v>44473</v>
      </c>
      <c r="C33" s="44" t="s">
        <v>1032</v>
      </c>
      <c r="D33" s="275">
        <v>6537</v>
      </c>
      <c r="E33" s="44" t="s">
        <v>846</v>
      </c>
      <c r="F33" s="44" t="s">
        <v>873</v>
      </c>
      <c r="G33" s="44" t="s">
        <v>874</v>
      </c>
      <c r="H33" s="276">
        <v>384.17</v>
      </c>
    </row>
    <row r="34" spans="1:8" hidden="1" outlineLevel="2" x14ac:dyDescent="0.25">
      <c r="A34" s="44" t="s">
        <v>229</v>
      </c>
      <c r="B34" s="274">
        <v>44475</v>
      </c>
      <c r="C34" s="44" t="s">
        <v>1032</v>
      </c>
      <c r="D34" s="275">
        <v>6550</v>
      </c>
      <c r="E34" s="44" t="s">
        <v>846</v>
      </c>
      <c r="F34" s="44" t="s">
        <v>867</v>
      </c>
      <c r="G34" s="44" t="s">
        <v>868</v>
      </c>
      <c r="H34" s="276">
        <v>143.5</v>
      </c>
    </row>
    <row r="35" spans="1:8" outlineLevel="1" collapsed="1" x14ac:dyDescent="0.25">
      <c r="A35" s="286" t="s">
        <v>1045</v>
      </c>
      <c r="B35" s="738"/>
      <c r="C35" s="739"/>
      <c r="D35" s="739"/>
      <c r="E35" s="739"/>
      <c r="F35" s="739"/>
      <c r="G35" s="740"/>
      <c r="H35" s="288">
        <f>SUBTOTAL(9,H31:H34)</f>
        <v>3927.67</v>
      </c>
    </row>
    <row r="36" spans="1:8" hidden="1" outlineLevel="2" x14ac:dyDescent="0.25">
      <c r="A36" s="44" t="s">
        <v>118</v>
      </c>
      <c r="B36" s="274">
        <v>44495</v>
      </c>
      <c r="C36" s="44" t="s">
        <v>1034</v>
      </c>
      <c r="D36" s="275">
        <v>500003105</v>
      </c>
      <c r="E36" s="44" t="s">
        <v>724</v>
      </c>
      <c r="F36" s="44" t="s">
        <v>735</v>
      </c>
      <c r="G36" s="44"/>
      <c r="H36" s="276">
        <v>1441.02</v>
      </c>
    </row>
    <row r="37" spans="1:8" outlineLevel="1" collapsed="1" x14ac:dyDescent="0.25">
      <c r="A37" s="286" t="s">
        <v>1046</v>
      </c>
      <c r="B37" s="738"/>
      <c r="C37" s="739"/>
      <c r="D37" s="739"/>
      <c r="E37" s="739"/>
      <c r="F37" s="739"/>
      <c r="G37" s="740"/>
      <c r="H37" s="288">
        <f>SUBTOTAL(9,H36:H36)</f>
        <v>1441.02</v>
      </c>
    </row>
    <row r="38" spans="1:8" hidden="1" outlineLevel="2" x14ac:dyDescent="0.25">
      <c r="A38" s="44" t="s">
        <v>124</v>
      </c>
      <c r="B38" s="274">
        <v>44495</v>
      </c>
      <c r="C38" s="44" t="s">
        <v>1034</v>
      </c>
      <c r="D38" s="275">
        <v>500003105</v>
      </c>
      <c r="E38" s="44" t="s">
        <v>724</v>
      </c>
      <c r="F38" s="44" t="s">
        <v>735</v>
      </c>
      <c r="G38" s="44"/>
      <c r="H38" s="276">
        <v>1441.02</v>
      </c>
    </row>
    <row r="39" spans="1:8" outlineLevel="1" collapsed="1" x14ac:dyDescent="0.25">
      <c r="A39" s="286" t="s">
        <v>1047</v>
      </c>
      <c r="B39" s="738"/>
      <c r="C39" s="739"/>
      <c r="D39" s="739"/>
      <c r="E39" s="739"/>
      <c r="F39" s="739"/>
      <c r="G39" s="740"/>
      <c r="H39" s="288">
        <f>SUBTOTAL(9,H38:H38)</f>
        <v>1441.02</v>
      </c>
    </row>
    <row r="40" spans="1:8" hidden="1" outlineLevel="2" x14ac:dyDescent="0.25">
      <c r="A40" s="44" t="s">
        <v>247</v>
      </c>
      <c r="B40" s="274">
        <v>44474</v>
      </c>
      <c r="C40" s="44" t="s">
        <v>1034</v>
      </c>
      <c r="D40" s="275">
        <v>200000058</v>
      </c>
      <c r="E40" s="44" t="s">
        <v>733</v>
      </c>
      <c r="F40" s="44" t="s">
        <v>734</v>
      </c>
      <c r="G40" s="44"/>
      <c r="H40" s="276">
        <v>1300</v>
      </c>
    </row>
    <row r="41" spans="1:8" outlineLevel="1" collapsed="1" x14ac:dyDescent="0.25">
      <c r="A41" s="286" t="s">
        <v>1048</v>
      </c>
      <c r="B41" s="738"/>
      <c r="C41" s="739"/>
      <c r="D41" s="739"/>
      <c r="E41" s="739"/>
      <c r="F41" s="739"/>
      <c r="G41" s="740"/>
      <c r="H41" s="288">
        <f>SUBTOTAL(9,H40:H40)</f>
        <v>1300</v>
      </c>
    </row>
    <row r="42" spans="1:8" hidden="1" outlineLevel="2" x14ac:dyDescent="0.25">
      <c r="A42" s="44" t="s">
        <v>434</v>
      </c>
      <c r="B42" s="274">
        <v>44470</v>
      </c>
      <c r="C42" s="44" t="s">
        <v>1034</v>
      </c>
      <c r="D42" s="275">
        <v>500033638</v>
      </c>
      <c r="E42" s="44" t="s">
        <v>713</v>
      </c>
      <c r="F42" s="44" t="s">
        <v>714</v>
      </c>
      <c r="G42" s="44"/>
      <c r="H42" s="276">
        <v>1252.6099999999999</v>
      </c>
    </row>
    <row r="43" spans="1:8" outlineLevel="1" collapsed="1" x14ac:dyDescent="0.25">
      <c r="A43" s="292" t="s">
        <v>1049</v>
      </c>
      <c r="B43" s="752"/>
      <c r="C43" s="753"/>
      <c r="D43" s="753"/>
      <c r="E43" s="753"/>
      <c r="F43" s="753"/>
      <c r="G43" s="754"/>
      <c r="H43" s="293">
        <f>SUBTOTAL(9,H42:H42)</f>
        <v>1252.6099999999999</v>
      </c>
    </row>
    <row r="44" spans="1:8" hidden="1" outlineLevel="2" x14ac:dyDescent="0.25">
      <c r="A44" s="44" t="s">
        <v>305</v>
      </c>
      <c r="B44" s="274">
        <v>44496</v>
      </c>
      <c r="C44" s="44" t="s">
        <v>1034</v>
      </c>
      <c r="D44" s="275">
        <v>200025670</v>
      </c>
      <c r="E44" s="44" t="s">
        <v>748</v>
      </c>
      <c r="F44" s="44" t="s">
        <v>749</v>
      </c>
      <c r="G44" s="44"/>
      <c r="H44" s="276">
        <v>138.80000000000001</v>
      </c>
    </row>
    <row r="45" spans="1:8" hidden="1" outlineLevel="2" x14ac:dyDescent="0.25">
      <c r="A45" s="44" t="s">
        <v>305</v>
      </c>
      <c r="B45" s="274">
        <v>44496</v>
      </c>
      <c r="C45" s="44" t="s">
        <v>1034</v>
      </c>
      <c r="D45" s="275">
        <v>300000103</v>
      </c>
      <c r="E45" s="44" t="s">
        <v>728</v>
      </c>
      <c r="F45" s="44" t="s">
        <v>750</v>
      </c>
      <c r="G45" s="44"/>
      <c r="H45" s="276">
        <v>924.79</v>
      </c>
    </row>
    <row r="46" spans="1:8" hidden="1" outlineLevel="2" x14ac:dyDescent="0.25">
      <c r="A46" s="44" t="s">
        <v>305</v>
      </c>
      <c r="B46" s="274">
        <v>44473</v>
      </c>
      <c r="C46" s="44" t="s">
        <v>1032</v>
      </c>
      <c r="D46" s="275">
        <v>6536</v>
      </c>
      <c r="E46" s="44" t="s">
        <v>846</v>
      </c>
      <c r="F46" s="44" t="s">
        <v>877</v>
      </c>
      <c r="G46" s="44" t="s">
        <v>878</v>
      </c>
      <c r="H46" s="276">
        <v>252.44</v>
      </c>
    </row>
    <row r="47" spans="1:8" ht="30" hidden="1" outlineLevel="2" x14ac:dyDescent="0.25">
      <c r="A47" s="44" t="s">
        <v>305</v>
      </c>
      <c r="B47" s="274">
        <v>44475</v>
      </c>
      <c r="C47" s="44" t="s">
        <v>1032</v>
      </c>
      <c r="D47" s="275">
        <v>6548</v>
      </c>
      <c r="E47" s="44" t="s">
        <v>846</v>
      </c>
      <c r="F47" s="44" t="s">
        <v>873</v>
      </c>
      <c r="G47" s="44" t="s">
        <v>874</v>
      </c>
      <c r="H47" s="276">
        <v>384.17</v>
      </c>
    </row>
    <row r="48" spans="1:8" hidden="1" outlineLevel="2" x14ac:dyDescent="0.25">
      <c r="A48" s="44" t="s">
        <v>305</v>
      </c>
      <c r="B48" s="274">
        <v>44475</v>
      </c>
      <c r="C48" s="44" t="s">
        <v>1032</v>
      </c>
      <c r="D48" s="275">
        <v>6548</v>
      </c>
      <c r="E48" s="44" t="s">
        <v>846</v>
      </c>
      <c r="F48" s="44" t="s">
        <v>863</v>
      </c>
      <c r="G48" s="44">
        <v>72328</v>
      </c>
      <c r="H48" s="276">
        <v>361.62</v>
      </c>
    </row>
    <row r="49" spans="1:8" hidden="1" outlineLevel="2" x14ac:dyDescent="0.25">
      <c r="A49" s="44" t="s">
        <v>305</v>
      </c>
      <c r="B49" s="274">
        <v>44481</v>
      </c>
      <c r="C49" s="44" t="s">
        <v>1032</v>
      </c>
      <c r="D49" s="275">
        <v>6554</v>
      </c>
      <c r="E49" s="44" t="s">
        <v>846</v>
      </c>
      <c r="F49" s="44" t="s">
        <v>863</v>
      </c>
      <c r="G49" s="44">
        <v>72328</v>
      </c>
      <c r="H49" s="276">
        <v>361.62</v>
      </c>
    </row>
    <row r="50" spans="1:8" hidden="1" outlineLevel="2" x14ac:dyDescent="0.25">
      <c r="A50" s="44" t="s">
        <v>305</v>
      </c>
      <c r="B50" s="274">
        <v>44481</v>
      </c>
      <c r="C50" s="44" t="s">
        <v>1032</v>
      </c>
      <c r="D50" s="275">
        <v>6554</v>
      </c>
      <c r="E50" s="44" t="s">
        <v>846</v>
      </c>
      <c r="F50" s="44" t="s">
        <v>879</v>
      </c>
      <c r="G50" s="44" t="s">
        <v>880</v>
      </c>
      <c r="H50" s="276">
        <v>1460</v>
      </c>
    </row>
    <row r="51" spans="1:8" outlineLevel="1" collapsed="1" x14ac:dyDescent="0.25">
      <c r="A51" s="292" t="s">
        <v>1050</v>
      </c>
      <c r="B51" s="752"/>
      <c r="C51" s="753"/>
      <c r="D51" s="753"/>
      <c r="E51" s="753"/>
      <c r="F51" s="753"/>
      <c r="G51" s="754"/>
      <c r="H51" s="293">
        <f>SUBTOTAL(9,H44:H50)</f>
        <v>3883.44</v>
      </c>
    </row>
    <row r="52" spans="1:8" hidden="1" outlineLevel="2" x14ac:dyDescent="0.25">
      <c r="A52" s="44" t="s">
        <v>482</v>
      </c>
      <c r="B52" s="274">
        <v>44474</v>
      </c>
      <c r="C52" s="44" t="s">
        <v>1034</v>
      </c>
      <c r="D52" s="275">
        <v>200000058</v>
      </c>
      <c r="E52" s="44" t="s">
        <v>733</v>
      </c>
      <c r="F52" s="44" t="s">
        <v>751</v>
      </c>
      <c r="G52" s="44"/>
      <c r="H52" s="276">
        <v>900</v>
      </c>
    </row>
    <row r="53" spans="1:8" outlineLevel="1" collapsed="1" x14ac:dyDescent="0.25">
      <c r="A53" s="292" t="s">
        <v>1051</v>
      </c>
      <c r="B53" s="752"/>
      <c r="C53" s="753"/>
      <c r="D53" s="753"/>
      <c r="E53" s="753"/>
      <c r="F53" s="753"/>
      <c r="G53" s="754"/>
      <c r="H53" s="293">
        <f>SUBTOTAL(9,H52:H52)</f>
        <v>900</v>
      </c>
    </row>
    <row r="54" spans="1:8" hidden="1" outlineLevel="2" x14ac:dyDescent="0.25">
      <c r="A54" s="44" t="s">
        <v>243</v>
      </c>
      <c r="B54" s="274">
        <v>44474</v>
      </c>
      <c r="C54" s="44" t="s">
        <v>1034</v>
      </c>
      <c r="D54" s="275">
        <v>200000058</v>
      </c>
      <c r="E54" s="44" t="s">
        <v>733</v>
      </c>
      <c r="F54" s="44" t="s">
        <v>752</v>
      </c>
      <c r="G54" s="44"/>
      <c r="H54" s="276">
        <v>900</v>
      </c>
    </row>
    <row r="55" spans="1:8" hidden="1" outlineLevel="2" x14ac:dyDescent="0.25">
      <c r="A55" s="44" t="s">
        <v>243</v>
      </c>
      <c r="B55" s="274">
        <v>44474</v>
      </c>
      <c r="C55" s="44" t="s">
        <v>1034</v>
      </c>
      <c r="D55" s="275">
        <v>200000058</v>
      </c>
      <c r="E55" s="44" t="s">
        <v>733</v>
      </c>
      <c r="F55" s="44" t="s">
        <v>746</v>
      </c>
      <c r="G55" s="44"/>
      <c r="H55" s="276">
        <v>1300</v>
      </c>
    </row>
    <row r="56" spans="1:8" ht="30" hidden="1" outlineLevel="2" x14ac:dyDescent="0.25">
      <c r="A56" s="44" t="s">
        <v>243</v>
      </c>
      <c r="B56" s="274">
        <v>44494</v>
      </c>
      <c r="C56" s="44" t="s">
        <v>1032</v>
      </c>
      <c r="D56" s="275">
        <v>6607</v>
      </c>
      <c r="E56" s="44" t="s">
        <v>846</v>
      </c>
      <c r="F56" s="44" t="s">
        <v>873</v>
      </c>
      <c r="G56" s="44" t="s">
        <v>874</v>
      </c>
      <c r="H56" s="276">
        <v>384.17</v>
      </c>
    </row>
    <row r="57" spans="1:8" ht="30" hidden="1" outlineLevel="2" x14ac:dyDescent="0.25">
      <c r="A57" s="44" t="s">
        <v>243</v>
      </c>
      <c r="B57" s="274">
        <v>44498</v>
      </c>
      <c r="C57" s="44" t="s">
        <v>1032</v>
      </c>
      <c r="D57" s="275">
        <v>6647</v>
      </c>
      <c r="E57" s="44" t="s">
        <v>846</v>
      </c>
      <c r="F57" s="44" t="s">
        <v>861</v>
      </c>
      <c r="G57" s="44" t="s">
        <v>862</v>
      </c>
      <c r="H57" s="276">
        <v>154.80000000000001</v>
      </c>
    </row>
    <row r="58" spans="1:8" outlineLevel="1" collapsed="1" x14ac:dyDescent="0.25">
      <c r="A58" s="292" t="s">
        <v>1052</v>
      </c>
      <c r="B58" s="752"/>
      <c r="C58" s="753"/>
      <c r="D58" s="753"/>
      <c r="E58" s="753"/>
      <c r="F58" s="753"/>
      <c r="G58" s="754"/>
      <c r="H58" s="293">
        <f>SUBTOTAL(9,H54:H57)</f>
        <v>2738.9700000000003</v>
      </c>
    </row>
    <row r="59" spans="1:8" hidden="1" outlineLevel="2" x14ac:dyDescent="0.25">
      <c r="A59" s="44" t="s">
        <v>270</v>
      </c>
      <c r="B59" s="274">
        <v>44474</v>
      </c>
      <c r="C59" s="44" t="s">
        <v>1034</v>
      </c>
      <c r="D59" s="275">
        <v>200000058</v>
      </c>
      <c r="E59" s="44" t="s">
        <v>733</v>
      </c>
      <c r="F59" s="44" t="s">
        <v>746</v>
      </c>
      <c r="G59" s="44"/>
      <c r="H59" s="276">
        <v>1300</v>
      </c>
    </row>
    <row r="60" spans="1:8" hidden="1" outlineLevel="2" x14ac:dyDescent="0.25">
      <c r="A60" s="44" t="s">
        <v>270</v>
      </c>
      <c r="B60" s="274">
        <v>44496</v>
      </c>
      <c r="C60" s="44" t="s">
        <v>1034</v>
      </c>
      <c r="D60" s="275">
        <v>300000103</v>
      </c>
      <c r="E60" s="44" t="s">
        <v>728</v>
      </c>
      <c r="F60" s="44" t="s">
        <v>753</v>
      </c>
      <c r="G60" s="44"/>
      <c r="H60" s="276">
        <v>18330.580000000002</v>
      </c>
    </row>
    <row r="61" spans="1:8" hidden="1" outlineLevel="2" x14ac:dyDescent="0.25">
      <c r="A61" s="44" t="s">
        <v>270</v>
      </c>
      <c r="B61" s="274">
        <v>44496</v>
      </c>
      <c r="C61" s="44" t="s">
        <v>1034</v>
      </c>
      <c r="D61" s="275">
        <v>300000103</v>
      </c>
      <c r="E61" s="44" t="s">
        <v>728</v>
      </c>
      <c r="F61" s="44" t="s">
        <v>754</v>
      </c>
      <c r="G61" s="44"/>
      <c r="H61" s="276">
        <v>123.97</v>
      </c>
    </row>
    <row r="62" spans="1:8" outlineLevel="1" collapsed="1" x14ac:dyDescent="0.25">
      <c r="A62" s="286" t="s">
        <v>1053</v>
      </c>
      <c r="B62" s="738"/>
      <c r="C62" s="739"/>
      <c r="D62" s="739"/>
      <c r="E62" s="739"/>
      <c r="F62" s="739"/>
      <c r="G62" s="740"/>
      <c r="H62" s="288">
        <f>SUBTOTAL(9,H59:H61)</f>
        <v>19754.550000000003</v>
      </c>
    </row>
    <row r="63" spans="1:8" ht="30" hidden="1" outlineLevel="2" x14ac:dyDescent="0.25">
      <c r="A63" s="44" t="s">
        <v>189</v>
      </c>
      <c r="B63" s="274">
        <v>44476</v>
      </c>
      <c r="C63" s="44" t="s">
        <v>1034</v>
      </c>
      <c r="D63" s="275">
        <v>200000129</v>
      </c>
      <c r="E63" s="44" t="s">
        <v>736</v>
      </c>
      <c r="F63" s="44" t="s">
        <v>755</v>
      </c>
      <c r="G63" s="44"/>
      <c r="H63" s="276">
        <v>17800</v>
      </c>
    </row>
    <row r="64" spans="1:8" ht="30" hidden="1" outlineLevel="2" x14ac:dyDescent="0.25">
      <c r="A64" s="44" t="s">
        <v>189</v>
      </c>
      <c r="B64" s="274">
        <v>44490</v>
      </c>
      <c r="C64" s="44" t="s">
        <v>1036</v>
      </c>
      <c r="D64" s="275">
        <v>100004966</v>
      </c>
      <c r="E64" s="44" t="s">
        <v>944</v>
      </c>
      <c r="F64" s="44" t="s">
        <v>934</v>
      </c>
      <c r="G64" s="44" t="s">
        <v>918</v>
      </c>
      <c r="H64" s="269">
        <v>5015.6040000000003</v>
      </c>
    </row>
    <row r="65" spans="1:8" hidden="1" outlineLevel="2" x14ac:dyDescent="0.25">
      <c r="A65" s="44" t="s">
        <v>189</v>
      </c>
      <c r="B65" s="274">
        <v>44490</v>
      </c>
      <c r="C65" s="44" t="s">
        <v>1036</v>
      </c>
      <c r="D65" s="275">
        <v>100004966</v>
      </c>
      <c r="E65" s="44" t="s">
        <v>945</v>
      </c>
      <c r="F65" s="44" t="s">
        <v>917</v>
      </c>
      <c r="G65" s="44" t="s">
        <v>918</v>
      </c>
      <c r="H65" s="269">
        <v>1600</v>
      </c>
    </row>
    <row r="66" spans="1:8" outlineLevel="1" collapsed="1" x14ac:dyDescent="0.25">
      <c r="A66" s="292" t="s">
        <v>1054</v>
      </c>
      <c r="B66" s="752"/>
      <c r="C66" s="753"/>
      <c r="D66" s="753"/>
      <c r="E66" s="753"/>
      <c r="F66" s="753"/>
      <c r="G66" s="754"/>
      <c r="H66" s="293">
        <f>SUBTOTAL(9,H63:H65)</f>
        <v>24415.603999999999</v>
      </c>
    </row>
    <row r="67" spans="1:8" hidden="1" outlineLevel="2" x14ac:dyDescent="0.25">
      <c r="A67" s="44" t="s">
        <v>80</v>
      </c>
      <c r="B67" s="274">
        <v>44483</v>
      </c>
      <c r="C67" s="44" t="s">
        <v>1032</v>
      </c>
      <c r="D67" s="275">
        <v>6576</v>
      </c>
      <c r="E67" s="44" t="s">
        <v>846</v>
      </c>
      <c r="F67" s="44" t="s">
        <v>863</v>
      </c>
      <c r="G67" s="44">
        <v>72328</v>
      </c>
      <c r="H67" s="276">
        <v>361.62</v>
      </c>
    </row>
    <row r="68" spans="1:8" ht="30" hidden="1" outlineLevel="2" x14ac:dyDescent="0.25">
      <c r="A68" s="44" t="s">
        <v>80</v>
      </c>
      <c r="B68" s="274">
        <v>44489</v>
      </c>
      <c r="C68" s="44" t="s">
        <v>1032</v>
      </c>
      <c r="D68" s="275">
        <v>6596</v>
      </c>
      <c r="E68" s="44" t="s">
        <v>846</v>
      </c>
      <c r="F68" s="44" t="s">
        <v>881</v>
      </c>
      <c r="G68" s="44" t="s">
        <v>882</v>
      </c>
      <c r="H68" s="276">
        <v>837.33</v>
      </c>
    </row>
    <row r="69" spans="1:8" outlineLevel="1" collapsed="1" x14ac:dyDescent="0.25">
      <c r="A69" s="286" t="s">
        <v>1055</v>
      </c>
      <c r="B69" s="738"/>
      <c r="C69" s="739"/>
      <c r="D69" s="739"/>
      <c r="E69" s="739"/>
      <c r="F69" s="739"/>
      <c r="G69" s="740"/>
      <c r="H69" s="288">
        <f>SUBTOTAL(9,H67:H68)</f>
        <v>1198.95</v>
      </c>
    </row>
    <row r="70" spans="1:8" hidden="1" outlineLevel="2" x14ac:dyDescent="0.25">
      <c r="A70" s="44" t="s">
        <v>286</v>
      </c>
      <c r="B70" s="274">
        <v>44474</v>
      </c>
      <c r="C70" s="44" t="s">
        <v>1034</v>
      </c>
      <c r="D70" s="275">
        <v>200000058</v>
      </c>
      <c r="E70" s="44" t="s">
        <v>733</v>
      </c>
      <c r="F70" s="44" t="s">
        <v>746</v>
      </c>
      <c r="G70" s="44"/>
      <c r="H70" s="276">
        <v>1800</v>
      </c>
    </row>
    <row r="71" spans="1:8" hidden="1" outlineLevel="2" x14ac:dyDescent="0.25">
      <c r="A71" s="44" t="s">
        <v>286</v>
      </c>
      <c r="B71" s="274">
        <v>44474</v>
      </c>
      <c r="C71" s="44" t="s">
        <v>1034</v>
      </c>
      <c r="D71" s="275">
        <v>200000058</v>
      </c>
      <c r="E71" s="44" t="s">
        <v>733</v>
      </c>
      <c r="F71" s="44" t="s">
        <v>756</v>
      </c>
      <c r="G71" s="44"/>
      <c r="H71" s="276">
        <v>1300</v>
      </c>
    </row>
    <row r="72" spans="1:8" hidden="1" outlineLevel="2" x14ac:dyDescent="0.25">
      <c r="A72" s="44" t="s">
        <v>286</v>
      </c>
      <c r="B72" s="274">
        <v>44474</v>
      </c>
      <c r="C72" s="44" t="s">
        <v>1034</v>
      </c>
      <c r="D72" s="275">
        <v>200000058</v>
      </c>
      <c r="E72" s="44" t="s">
        <v>733</v>
      </c>
      <c r="F72" s="44" t="s">
        <v>757</v>
      </c>
      <c r="G72" s="44"/>
      <c r="H72" s="276">
        <v>2300</v>
      </c>
    </row>
    <row r="73" spans="1:8" hidden="1" outlineLevel="2" x14ac:dyDescent="0.25">
      <c r="A73" s="44" t="s">
        <v>286</v>
      </c>
      <c r="B73" s="274">
        <v>44495</v>
      </c>
      <c r="C73" s="44" t="s">
        <v>1034</v>
      </c>
      <c r="D73" s="275">
        <v>200003069</v>
      </c>
      <c r="E73" s="44" t="s">
        <v>758</v>
      </c>
      <c r="F73" s="44" t="s">
        <v>759</v>
      </c>
      <c r="G73" s="44"/>
      <c r="H73" s="276">
        <v>3190</v>
      </c>
    </row>
    <row r="74" spans="1:8" hidden="1" outlineLevel="2" x14ac:dyDescent="0.25">
      <c r="A74" s="44" t="s">
        <v>286</v>
      </c>
      <c r="B74" s="274">
        <v>44495</v>
      </c>
      <c r="C74" s="44" t="s">
        <v>1034</v>
      </c>
      <c r="D74" s="275">
        <v>200003069</v>
      </c>
      <c r="E74" s="44" t="s">
        <v>758</v>
      </c>
      <c r="F74" s="44" t="s">
        <v>760</v>
      </c>
      <c r="G74" s="44"/>
      <c r="H74" s="276">
        <v>10000</v>
      </c>
    </row>
    <row r="75" spans="1:8" hidden="1" outlineLevel="2" x14ac:dyDescent="0.25">
      <c r="A75" s="44" t="s">
        <v>286</v>
      </c>
      <c r="B75" s="274">
        <v>44495</v>
      </c>
      <c r="C75" s="44" t="s">
        <v>1034</v>
      </c>
      <c r="D75" s="275">
        <v>200003069</v>
      </c>
      <c r="E75" s="44" t="s">
        <v>758</v>
      </c>
      <c r="F75" s="44" t="s">
        <v>761</v>
      </c>
      <c r="G75" s="44"/>
      <c r="H75" s="276">
        <v>7600</v>
      </c>
    </row>
    <row r="76" spans="1:8" hidden="1" outlineLevel="2" x14ac:dyDescent="0.25">
      <c r="A76" s="44" t="s">
        <v>286</v>
      </c>
      <c r="B76" s="274">
        <v>44495</v>
      </c>
      <c r="C76" s="44" t="s">
        <v>1034</v>
      </c>
      <c r="D76" s="275">
        <v>200003069</v>
      </c>
      <c r="E76" s="44" t="s">
        <v>758</v>
      </c>
      <c r="F76" s="44" t="s">
        <v>762</v>
      </c>
      <c r="G76" s="44"/>
      <c r="H76" s="276">
        <v>8000</v>
      </c>
    </row>
    <row r="77" spans="1:8" hidden="1" outlineLevel="2" x14ac:dyDescent="0.25">
      <c r="A77" s="44" t="s">
        <v>286</v>
      </c>
      <c r="B77" s="274">
        <v>44495</v>
      </c>
      <c r="C77" s="44" t="s">
        <v>1034</v>
      </c>
      <c r="D77" s="275">
        <v>200003069</v>
      </c>
      <c r="E77" s="44" t="s">
        <v>758</v>
      </c>
      <c r="F77" s="44" t="s">
        <v>763</v>
      </c>
      <c r="G77" s="44"/>
      <c r="H77" s="276">
        <v>7000</v>
      </c>
    </row>
    <row r="78" spans="1:8" hidden="1" outlineLevel="2" x14ac:dyDescent="0.25">
      <c r="A78" s="44" t="s">
        <v>286</v>
      </c>
      <c r="B78" s="274">
        <v>44471</v>
      </c>
      <c r="C78" s="44" t="s">
        <v>1032</v>
      </c>
      <c r="D78" s="275">
        <v>6532</v>
      </c>
      <c r="E78" s="44" t="s">
        <v>846</v>
      </c>
      <c r="F78" s="44" t="s">
        <v>863</v>
      </c>
      <c r="G78" s="44">
        <v>72328</v>
      </c>
      <c r="H78" s="276">
        <v>361.62</v>
      </c>
    </row>
    <row r="79" spans="1:8" hidden="1" outlineLevel="2" x14ac:dyDescent="0.25">
      <c r="A79" s="44" t="s">
        <v>286</v>
      </c>
      <c r="B79" s="274">
        <v>44484</v>
      </c>
      <c r="C79" s="44" t="s">
        <v>1032</v>
      </c>
      <c r="D79" s="275">
        <v>6579</v>
      </c>
      <c r="E79" s="44" t="s">
        <v>846</v>
      </c>
      <c r="F79" s="44" t="s">
        <v>875</v>
      </c>
      <c r="G79" s="44" t="s">
        <v>876</v>
      </c>
      <c r="H79" s="276">
        <v>141.6</v>
      </c>
    </row>
    <row r="80" spans="1:8" ht="30" hidden="1" outlineLevel="2" x14ac:dyDescent="0.25">
      <c r="A80" s="44" t="s">
        <v>286</v>
      </c>
      <c r="B80" s="274">
        <v>44473</v>
      </c>
      <c r="C80" s="44" t="s">
        <v>1036</v>
      </c>
      <c r="D80" s="275">
        <v>100004936</v>
      </c>
      <c r="E80" s="44" t="s">
        <v>946</v>
      </c>
      <c r="F80" s="44" t="s">
        <v>947</v>
      </c>
      <c r="G80" s="44" t="s">
        <v>948</v>
      </c>
      <c r="H80" s="269">
        <v>100</v>
      </c>
    </row>
    <row r="81" spans="1:8" outlineLevel="1" collapsed="1" x14ac:dyDescent="0.25">
      <c r="A81" s="286" t="s">
        <v>1056</v>
      </c>
      <c r="B81" s="738"/>
      <c r="C81" s="739"/>
      <c r="D81" s="739"/>
      <c r="E81" s="739"/>
      <c r="F81" s="739"/>
      <c r="G81" s="740"/>
      <c r="H81" s="288">
        <f>SUBTOTAL(9,H70:H80)</f>
        <v>41793.22</v>
      </c>
    </row>
    <row r="82" spans="1:8" hidden="1" outlineLevel="2" x14ac:dyDescent="0.25">
      <c r="A82" s="44" t="s">
        <v>179</v>
      </c>
      <c r="B82" s="274">
        <v>44474</v>
      </c>
      <c r="C82" s="44" t="s">
        <v>1034</v>
      </c>
      <c r="D82" s="275">
        <v>200000058</v>
      </c>
      <c r="E82" s="44" t="s">
        <v>733</v>
      </c>
      <c r="F82" s="44" t="s">
        <v>746</v>
      </c>
      <c r="G82" s="44"/>
      <c r="H82" s="276">
        <v>1300</v>
      </c>
    </row>
    <row r="83" spans="1:8" ht="30" hidden="1" outlineLevel="2" x14ac:dyDescent="0.25">
      <c r="A83" s="44" t="s">
        <v>179</v>
      </c>
      <c r="B83" s="274">
        <v>44476</v>
      </c>
      <c r="C83" s="44" t="s">
        <v>1032</v>
      </c>
      <c r="D83" s="275">
        <v>6552</v>
      </c>
      <c r="E83" s="44" t="s">
        <v>846</v>
      </c>
      <c r="F83" s="44" t="s">
        <v>873</v>
      </c>
      <c r="G83" s="44" t="s">
        <v>874</v>
      </c>
      <c r="H83" s="276">
        <v>384.17</v>
      </c>
    </row>
    <row r="84" spans="1:8" ht="30" hidden="1" outlineLevel="2" x14ac:dyDescent="0.25">
      <c r="A84" s="44" t="s">
        <v>179</v>
      </c>
      <c r="B84" s="274">
        <v>44498</v>
      </c>
      <c r="C84" s="44" t="s">
        <v>1032</v>
      </c>
      <c r="D84" s="275">
        <v>6646</v>
      </c>
      <c r="E84" s="44" t="s">
        <v>846</v>
      </c>
      <c r="F84" s="44" t="s">
        <v>873</v>
      </c>
      <c r="G84" s="44" t="s">
        <v>874</v>
      </c>
      <c r="H84" s="276">
        <v>384.17</v>
      </c>
    </row>
    <row r="85" spans="1:8" outlineLevel="1" collapsed="1" x14ac:dyDescent="0.25">
      <c r="A85" s="292" t="s">
        <v>1057</v>
      </c>
      <c r="B85" s="752"/>
      <c r="C85" s="753"/>
      <c r="D85" s="753"/>
      <c r="E85" s="753"/>
      <c r="F85" s="753"/>
      <c r="G85" s="754"/>
      <c r="H85" s="293">
        <f>SUBTOTAL(9,H82:H84)</f>
        <v>2068.34</v>
      </c>
    </row>
    <row r="86" spans="1:8" hidden="1" outlineLevel="2" x14ac:dyDescent="0.25">
      <c r="A86" s="44" t="s">
        <v>309</v>
      </c>
      <c r="B86" s="274">
        <v>44496</v>
      </c>
      <c r="C86" s="44" t="s">
        <v>1034</v>
      </c>
      <c r="D86" s="275">
        <v>300000103</v>
      </c>
      <c r="E86" s="44" t="s">
        <v>728</v>
      </c>
      <c r="F86" s="44" t="s">
        <v>764</v>
      </c>
      <c r="G86" s="44"/>
      <c r="H86" s="276">
        <v>214.88</v>
      </c>
    </row>
    <row r="87" spans="1:8" hidden="1" outlineLevel="2" x14ac:dyDescent="0.25">
      <c r="A87" s="44" t="s">
        <v>309</v>
      </c>
      <c r="B87" s="274">
        <v>44496</v>
      </c>
      <c r="C87" s="44" t="s">
        <v>1034</v>
      </c>
      <c r="D87" s="275">
        <v>300000103</v>
      </c>
      <c r="E87" s="44" t="s">
        <v>728</v>
      </c>
      <c r="F87" s="44" t="s">
        <v>765</v>
      </c>
      <c r="G87" s="44"/>
      <c r="H87" s="276">
        <v>4304.96</v>
      </c>
    </row>
    <row r="88" spans="1:8" hidden="1" outlineLevel="2" x14ac:dyDescent="0.25">
      <c r="A88" s="44" t="s">
        <v>309</v>
      </c>
      <c r="B88" s="274">
        <v>44496</v>
      </c>
      <c r="C88" s="44" t="s">
        <v>1034</v>
      </c>
      <c r="D88" s="275">
        <v>300000103</v>
      </c>
      <c r="E88" s="44" t="s">
        <v>728</v>
      </c>
      <c r="F88" s="44" t="s">
        <v>766</v>
      </c>
      <c r="G88" s="44"/>
      <c r="H88" s="276">
        <v>9090.91</v>
      </c>
    </row>
    <row r="89" spans="1:8" hidden="1" outlineLevel="2" x14ac:dyDescent="0.25">
      <c r="A89" s="44" t="s">
        <v>309</v>
      </c>
      <c r="B89" s="274">
        <v>44473</v>
      </c>
      <c r="C89" s="44" t="s">
        <v>1032</v>
      </c>
      <c r="D89" s="275" t="s">
        <v>883</v>
      </c>
      <c r="E89" s="44" t="s">
        <v>846</v>
      </c>
      <c r="F89" s="44" t="s">
        <v>863</v>
      </c>
      <c r="G89" s="44">
        <v>72328</v>
      </c>
      <c r="H89" s="276">
        <v>361.62</v>
      </c>
    </row>
    <row r="90" spans="1:8" ht="30" hidden="1" outlineLevel="2" x14ac:dyDescent="0.25">
      <c r="A90" s="44" t="s">
        <v>309</v>
      </c>
      <c r="B90" s="274">
        <v>44473</v>
      </c>
      <c r="C90" s="44" t="s">
        <v>1036</v>
      </c>
      <c r="D90" s="275">
        <v>100004936</v>
      </c>
      <c r="E90" s="44" t="s">
        <v>946</v>
      </c>
      <c r="F90" s="44" t="s">
        <v>947</v>
      </c>
      <c r="G90" s="44" t="s">
        <v>948</v>
      </c>
      <c r="H90" s="269">
        <v>100</v>
      </c>
    </row>
    <row r="91" spans="1:8" outlineLevel="1" collapsed="1" x14ac:dyDescent="0.25">
      <c r="A91" s="286" t="s">
        <v>1058</v>
      </c>
      <c r="B91" s="738"/>
      <c r="C91" s="739"/>
      <c r="D91" s="739"/>
      <c r="E91" s="739"/>
      <c r="F91" s="739"/>
      <c r="G91" s="740"/>
      <c r="H91" s="288">
        <f>SUBTOTAL(9,H86:H90)</f>
        <v>14072.37</v>
      </c>
    </row>
    <row r="92" spans="1:8" ht="30" hidden="1" outlineLevel="2" x14ac:dyDescent="0.25">
      <c r="A92" s="44" t="s">
        <v>73</v>
      </c>
      <c r="B92" s="274">
        <v>44495</v>
      </c>
      <c r="C92" s="44" t="s">
        <v>1034</v>
      </c>
      <c r="D92" s="275">
        <v>100000119</v>
      </c>
      <c r="E92" s="44" t="s">
        <v>767</v>
      </c>
      <c r="F92" s="44" t="s">
        <v>768</v>
      </c>
      <c r="G92" s="44"/>
      <c r="H92" s="276">
        <v>34500</v>
      </c>
    </row>
    <row r="93" spans="1:8" hidden="1" outlineLevel="2" x14ac:dyDescent="0.25">
      <c r="A93" s="44" t="s">
        <v>73</v>
      </c>
      <c r="B93" s="274">
        <v>44496</v>
      </c>
      <c r="C93" s="44" t="s">
        <v>1034</v>
      </c>
      <c r="D93" s="275">
        <v>300000103</v>
      </c>
      <c r="E93" s="44" t="s">
        <v>728</v>
      </c>
      <c r="F93" s="44" t="s">
        <v>769</v>
      </c>
      <c r="G93" s="44"/>
      <c r="H93" s="276">
        <v>1660.33</v>
      </c>
    </row>
    <row r="94" spans="1:8" hidden="1" outlineLevel="2" x14ac:dyDescent="0.25">
      <c r="A94" s="44" t="s">
        <v>73</v>
      </c>
      <c r="B94" s="274">
        <v>44496</v>
      </c>
      <c r="C94" s="44" t="s">
        <v>1034</v>
      </c>
      <c r="D94" s="275">
        <v>300000103</v>
      </c>
      <c r="E94" s="44" t="s">
        <v>728</v>
      </c>
      <c r="F94" s="44" t="s">
        <v>770</v>
      </c>
      <c r="G94" s="44"/>
      <c r="H94" s="276">
        <v>236.36</v>
      </c>
    </row>
    <row r="95" spans="1:8" hidden="1" outlineLevel="2" x14ac:dyDescent="0.25">
      <c r="A95" s="44" t="s">
        <v>73</v>
      </c>
      <c r="B95" s="274">
        <v>44496</v>
      </c>
      <c r="C95" s="44" t="s">
        <v>1034</v>
      </c>
      <c r="D95" s="275">
        <v>300000103</v>
      </c>
      <c r="E95" s="44" t="s">
        <v>728</v>
      </c>
      <c r="F95" s="44" t="s">
        <v>771</v>
      </c>
      <c r="G95" s="44"/>
      <c r="H95" s="276">
        <v>3726.45</v>
      </c>
    </row>
    <row r="96" spans="1:8" hidden="1" outlineLevel="2" x14ac:dyDescent="0.25">
      <c r="A96" s="44" t="s">
        <v>73</v>
      </c>
      <c r="B96" s="274">
        <v>44487</v>
      </c>
      <c r="C96" s="44" t="s">
        <v>1035</v>
      </c>
      <c r="D96" s="275">
        <v>100001716</v>
      </c>
      <c r="E96" s="44" t="s">
        <v>836</v>
      </c>
      <c r="F96" s="44" t="s">
        <v>837</v>
      </c>
      <c r="G96" s="44"/>
      <c r="H96" s="276">
        <v>-645.11</v>
      </c>
    </row>
    <row r="97" spans="1:8" hidden="1" outlineLevel="2" x14ac:dyDescent="0.25">
      <c r="A97" s="44" t="s">
        <v>73</v>
      </c>
      <c r="B97" s="274">
        <v>44474</v>
      </c>
      <c r="C97" s="44" t="s">
        <v>1032</v>
      </c>
      <c r="D97" s="275">
        <v>6544</v>
      </c>
      <c r="E97" s="44" t="s">
        <v>846</v>
      </c>
      <c r="F97" s="44" t="s">
        <v>884</v>
      </c>
      <c r="G97" s="44" t="s">
        <v>885</v>
      </c>
      <c r="H97" s="276">
        <v>138.38</v>
      </c>
    </row>
    <row r="98" spans="1:8" ht="30" hidden="1" outlineLevel="2" x14ac:dyDescent="0.25">
      <c r="A98" s="44" t="s">
        <v>73</v>
      </c>
      <c r="B98" s="274">
        <v>44474</v>
      </c>
      <c r="C98" s="44" t="s">
        <v>1032</v>
      </c>
      <c r="D98" s="275">
        <v>6544</v>
      </c>
      <c r="E98" s="44" t="s">
        <v>846</v>
      </c>
      <c r="F98" s="44" t="s">
        <v>886</v>
      </c>
      <c r="G98" s="44" t="s">
        <v>887</v>
      </c>
      <c r="H98" s="276">
        <v>3740.22</v>
      </c>
    </row>
    <row r="99" spans="1:8" ht="30" hidden="1" outlineLevel="2" x14ac:dyDescent="0.25">
      <c r="A99" s="44" t="s">
        <v>73</v>
      </c>
      <c r="B99" s="274">
        <v>44484</v>
      </c>
      <c r="C99" s="44" t="s">
        <v>1032</v>
      </c>
      <c r="D99" s="275">
        <v>6585</v>
      </c>
      <c r="E99" s="44" t="s">
        <v>846</v>
      </c>
      <c r="F99" s="44" t="s">
        <v>869</v>
      </c>
      <c r="G99" s="44" t="s">
        <v>870</v>
      </c>
      <c r="H99" s="276">
        <v>1468.83</v>
      </c>
    </row>
    <row r="100" spans="1:8" ht="30" hidden="1" outlineLevel="2" x14ac:dyDescent="0.25">
      <c r="A100" s="44" t="s">
        <v>73</v>
      </c>
      <c r="B100" s="274">
        <v>44484</v>
      </c>
      <c r="C100" s="44" t="s">
        <v>1032</v>
      </c>
      <c r="D100" s="275">
        <v>6585</v>
      </c>
      <c r="E100" s="44" t="s">
        <v>846</v>
      </c>
      <c r="F100" s="44" t="s">
        <v>888</v>
      </c>
      <c r="G100" s="44" t="s">
        <v>889</v>
      </c>
      <c r="H100" s="276">
        <v>1785.55</v>
      </c>
    </row>
    <row r="101" spans="1:8" ht="30" hidden="1" outlineLevel="2" x14ac:dyDescent="0.25">
      <c r="A101" s="44" t="s">
        <v>73</v>
      </c>
      <c r="B101" s="274">
        <v>44484</v>
      </c>
      <c r="C101" s="44" t="s">
        <v>1032</v>
      </c>
      <c r="D101" s="275">
        <v>6585</v>
      </c>
      <c r="E101" s="44" t="s">
        <v>846</v>
      </c>
      <c r="F101" s="44" t="s">
        <v>873</v>
      </c>
      <c r="G101" s="44" t="s">
        <v>874</v>
      </c>
      <c r="H101" s="276">
        <v>384.17</v>
      </c>
    </row>
    <row r="102" spans="1:8" hidden="1" outlineLevel="2" x14ac:dyDescent="0.25">
      <c r="A102" s="44" t="s">
        <v>73</v>
      </c>
      <c r="B102" s="274">
        <v>44484</v>
      </c>
      <c r="C102" s="44" t="s">
        <v>1032</v>
      </c>
      <c r="D102" s="275">
        <v>6585</v>
      </c>
      <c r="E102" s="44" t="s">
        <v>846</v>
      </c>
      <c r="F102" s="44" t="s">
        <v>863</v>
      </c>
      <c r="G102" s="44">
        <v>72328</v>
      </c>
      <c r="H102" s="276">
        <v>361.62</v>
      </c>
    </row>
    <row r="103" spans="1:8" ht="30" hidden="1" outlineLevel="2" x14ac:dyDescent="0.25">
      <c r="A103" s="44" t="s">
        <v>73</v>
      </c>
      <c r="B103" s="274">
        <v>44473</v>
      </c>
      <c r="C103" s="44" t="s">
        <v>1036</v>
      </c>
      <c r="D103" s="275">
        <v>100004936</v>
      </c>
      <c r="E103" s="44" t="s">
        <v>946</v>
      </c>
      <c r="F103" s="44" t="s">
        <v>947</v>
      </c>
      <c r="G103" s="44" t="s">
        <v>948</v>
      </c>
      <c r="H103" s="269">
        <v>100</v>
      </c>
    </row>
    <row r="104" spans="1:8" outlineLevel="1" collapsed="1" x14ac:dyDescent="0.25">
      <c r="A104" s="286" t="s">
        <v>1059</v>
      </c>
      <c r="B104" s="738"/>
      <c r="C104" s="739"/>
      <c r="D104" s="739"/>
      <c r="E104" s="739"/>
      <c r="F104" s="739"/>
      <c r="G104" s="740"/>
      <c r="H104" s="288">
        <f>SUBTOTAL(9,H92:H103)</f>
        <v>47456.800000000003</v>
      </c>
    </row>
    <row r="105" spans="1:8" hidden="1" outlineLevel="2" x14ac:dyDescent="0.25">
      <c r="A105" s="44" t="s">
        <v>249</v>
      </c>
      <c r="B105" s="274">
        <v>44495</v>
      </c>
      <c r="C105" s="44" t="s">
        <v>1034</v>
      </c>
      <c r="D105" s="275">
        <v>200003069</v>
      </c>
      <c r="E105" s="44" t="s">
        <v>758</v>
      </c>
      <c r="F105" s="44" t="s">
        <v>772</v>
      </c>
      <c r="G105" s="44"/>
      <c r="H105" s="276">
        <v>18630</v>
      </c>
    </row>
    <row r="106" spans="1:8" hidden="1" outlineLevel="2" x14ac:dyDescent="0.25">
      <c r="A106" s="44" t="s">
        <v>249</v>
      </c>
      <c r="B106" s="274">
        <v>44495</v>
      </c>
      <c r="C106" s="44" t="s">
        <v>1034</v>
      </c>
      <c r="D106" s="275">
        <v>200003069</v>
      </c>
      <c r="E106" s="44" t="s">
        <v>758</v>
      </c>
      <c r="F106" s="44" t="s">
        <v>773</v>
      </c>
      <c r="G106" s="44"/>
      <c r="H106" s="276">
        <v>8195</v>
      </c>
    </row>
    <row r="107" spans="1:8" hidden="1" outlineLevel="2" x14ac:dyDescent="0.25">
      <c r="A107" s="44" t="s">
        <v>249</v>
      </c>
      <c r="B107" s="274">
        <v>44495</v>
      </c>
      <c r="C107" s="44" t="s">
        <v>1034</v>
      </c>
      <c r="D107" s="275">
        <v>200003069</v>
      </c>
      <c r="E107" s="44" t="s">
        <v>758</v>
      </c>
      <c r="F107" s="44" t="s">
        <v>774</v>
      </c>
      <c r="G107" s="44"/>
      <c r="H107" s="276">
        <v>3600</v>
      </c>
    </row>
    <row r="108" spans="1:8" hidden="1" outlineLevel="2" x14ac:dyDescent="0.25">
      <c r="A108" s="44" t="s">
        <v>249</v>
      </c>
      <c r="B108" s="274">
        <v>44495</v>
      </c>
      <c r="C108" s="44" t="s">
        <v>1034</v>
      </c>
      <c r="D108" s="275">
        <v>200003069</v>
      </c>
      <c r="E108" s="44" t="s">
        <v>758</v>
      </c>
      <c r="F108" s="44" t="s">
        <v>775</v>
      </c>
      <c r="G108" s="44"/>
      <c r="H108" s="276">
        <v>18000</v>
      </c>
    </row>
    <row r="109" spans="1:8" ht="30" hidden="1" outlineLevel="2" x14ac:dyDescent="0.25">
      <c r="A109" s="44" t="s">
        <v>249</v>
      </c>
      <c r="B109" s="274">
        <v>44495</v>
      </c>
      <c r="C109" s="44" t="s">
        <v>1034</v>
      </c>
      <c r="D109" s="275">
        <v>200003069</v>
      </c>
      <c r="E109" s="44" t="s">
        <v>758</v>
      </c>
      <c r="F109" s="44" t="s">
        <v>776</v>
      </c>
      <c r="G109" s="44"/>
      <c r="H109" s="276">
        <v>12000</v>
      </c>
    </row>
    <row r="110" spans="1:8" hidden="1" outlineLevel="2" x14ac:dyDescent="0.25">
      <c r="A110" s="44" t="s">
        <v>249</v>
      </c>
      <c r="B110" s="274">
        <v>44495</v>
      </c>
      <c r="C110" s="44" t="s">
        <v>1034</v>
      </c>
      <c r="D110" s="275">
        <v>200003069</v>
      </c>
      <c r="E110" s="44" t="s">
        <v>758</v>
      </c>
      <c r="F110" s="44" t="s">
        <v>777</v>
      </c>
      <c r="G110" s="44"/>
      <c r="H110" s="276">
        <v>1200</v>
      </c>
    </row>
    <row r="111" spans="1:8" hidden="1" outlineLevel="2" x14ac:dyDescent="0.25">
      <c r="A111" s="44" t="s">
        <v>249</v>
      </c>
      <c r="B111" s="274">
        <v>44495</v>
      </c>
      <c r="C111" s="44" t="s">
        <v>1034</v>
      </c>
      <c r="D111" s="275">
        <v>200003069</v>
      </c>
      <c r="E111" s="44" t="s">
        <v>758</v>
      </c>
      <c r="F111" s="44" t="s">
        <v>778</v>
      </c>
      <c r="G111" s="44"/>
      <c r="H111" s="276">
        <v>10584</v>
      </c>
    </row>
    <row r="112" spans="1:8" hidden="1" outlineLevel="2" x14ac:dyDescent="0.25">
      <c r="A112" s="44" t="s">
        <v>249</v>
      </c>
      <c r="B112" s="274">
        <v>44471</v>
      </c>
      <c r="C112" s="44" t="s">
        <v>1032</v>
      </c>
      <c r="D112" s="275">
        <v>6533</v>
      </c>
      <c r="E112" s="44" t="s">
        <v>846</v>
      </c>
      <c r="F112" s="44" t="s">
        <v>890</v>
      </c>
      <c r="G112" s="44" t="s">
        <v>891</v>
      </c>
      <c r="H112" s="276">
        <v>918.38</v>
      </c>
    </row>
    <row r="113" spans="1:8" hidden="1" outlineLevel="2" x14ac:dyDescent="0.25">
      <c r="A113" s="44" t="s">
        <v>249</v>
      </c>
      <c r="B113" s="274">
        <v>44473</v>
      </c>
      <c r="C113" s="44" t="s">
        <v>1032</v>
      </c>
      <c r="D113" s="275">
        <v>6543</v>
      </c>
      <c r="E113" s="44" t="s">
        <v>846</v>
      </c>
      <c r="F113" s="44" t="s">
        <v>867</v>
      </c>
      <c r="G113" s="44" t="s">
        <v>868</v>
      </c>
      <c r="H113" s="276">
        <v>143.5</v>
      </c>
    </row>
    <row r="114" spans="1:8" hidden="1" outlineLevel="2" x14ac:dyDescent="0.25">
      <c r="A114" s="44" t="s">
        <v>249</v>
      </c>
      <c r="B114" s="274">
        <v>44473</v>
      </c>
      <c r="C114" s="44" t="s">
        <v>1032</v>
      </c>
      <c r="D114" s="275">
        <v>6543</v>
      </c>
      <c r="E114" s="44" t="s">
        <v>846</v>
      </c>
      <c r="F114" s="44" t="s">
        <v>863</v>
      </c>
      <c r="G114" s="44">
        <v>72328</v>
      </c>
      <c r="H114" s="276">
        <v>361.62</v>
      </c>
    </row>
    <row r="115" spans="1:8" ht="30" hidden="1" outlineLevel="2" x14ac:dyDescent="0.25">
      <c r="A115" s="44" t="s">
        <v>249</v>
      </c>
      <c r="B115" s="274">
        <v>44476</v>
      </c>
      <c r="C115" s="44" t="s">
        <v>1032</v>
      </c>
      <c r="D115" s="275">
        <v>6553</v>
      </c>
      <c r="E115" s="44" t="s">
        <v>846</v>
      </c>
      <c r="F115" s="44" t="s">
        <v>873</v>
      </c>
      <c r="G115" s="44" t="s">
        <v>874</v>
      </c>
      <c r="H115" s="276">
        <v>384.17</v>
      </c>
    </row>
    <row r="116" spans="1:8" ht="30" hidden="1" outlineLevel="2" x14ac:dyDescent="0.25">
      <c r="A116" s="44" t="s">
        <v>249</v>
      </c>
      <c r="B116" s="274">
        <v>44482</v>
      </c>
      <c r="C116" s="44" t="s">
        <v>1032</v>
      </c>
      <c r="D116" s="275">
        <v>6566</v>
      </c>
      <c r="E116" s="44" t="s">
        <v>846</v>
      </c>
      <c r="F116" s="44" t="s">
        <v>873</v>
      </c>
      <c r="G116" s="44" t="s">
        <v>874</v>
      </c>
      <c r="H116" s="276">
        <v>384.17</v>
      </c>
    </row>
    <row r="117" spans="1:8" hidden="1" outlineLevel="2" x14ac:dyDescent="0.25">
      <c r="A117" s="44" t="s">
        <v>249</v>
      </c>
      <c r="B117" s="274">
        <v>44490</v>
      </c>
      <c r="C117" s="44" t="s">
        <v>1032</v>
      </c>
      <c r="D117" s="275">
        <v>6601</v>
      </c>
      <c r="E117" s="44" t="s">
        <v>846</v>
      </c>
      <c r="F117" s="44" t="s">
        <v>877</v>
      </c>
      <c r="G117" s="44" t="s">
        <v>878</v>
      </c>
      <c r="H117" s="276">
        <v>63.11</v>
      </c>
    </row>
    <row r="118" spans="1:8" outlineLevel="1" collapsed="1" x14ac:dyDescent="0.25">
      <c r="A118" s="286" t="s">
        <v>1060</v>
      </c>
      <c r="B118" s="738"/>
      <c r="C118" s="739"/>
      <c r="D118" s="739"/>
      <c r="E118" s="739"/>
      <c r="F118" s="739"/>
      <c r="G118" s="740"/>
      <c r="H118" s="288">
        <f>SUBTOTAL(9,H105:H117)</f>
        <v>74463.95</v>
      </c>
    </row>
    <row r="119" spans="1:8" hidden="1" outlineLevel="2" x14ac:dyDescent="0.25">
      <c r="A119" s="44" t="s">
        <v>200</v>
      </c>
      <c r="B119" s="274">
        <v>44484</v>
      </c>
      <c r="C119" s="44" t="s">
        <v>1032</v>
      </c>
      <c r="D119" s="275">
        <v>6581</v>
      </c>
      <c r="E119" s="44" t="s">
        <v>846</v>
      </c>
      <c r="F119" s="44" t="s">
        <v>892</v>
      </c>
      <c r="G119" s="44" t="s">
        <v>893</v>
      </c>
      <c r="H119" s="276">
        <v>61.48</v>
      </c>
    </row>
    <row r="120" spans="1:8" ht="30" hidden="1" outlineLevel="2" x14ac:dyDescent="0.25">
      <c r="A120" s="44" t="s">
        <v>200</v>
      </c>
      <c r="B120" s="274">
        <v>44473</v>
      </c>
      <c r="C120" s="44" t="s">
        <v>1036</v>
      </c>
      <c r="D120" s="275">
        <v>100004936</v>
      </c>
      <c r="E120" s="44" t="s">
        <v>946</v>
      </c>
      <c r="F120" s="44" t="s">
        <v>947</v>
      </c>
      <c r="G120" s="44" t="s">
        <v>948</v>
      </c>
      <c r="H120" s="269">
        <v>100</v>
      </c>
    </row>
    <row r="121" spans="1:8" hidden="1" outlineLevel="2" x14ac:dyDescent="0.25">
      <c r="A121" s="44" t="s">
        <v>200</v>
      </c>
      <c r="B121" s="274">
        <v>44495</v>
      </c>
      <c r="C121" s="44" t="s">
        <v>1036</v>
      </c>
      <c r="D121" s="275">
        <v>100004978</v>
      </c>
      <c r="E121" s="44" t="s">
        <v>991</v>
      </c>
      <c r="F121" s="44" t="s">
        <v>940</v>
      </c>
      <c r="G121" s="44" t="s">
        <v>965</v>
      </c>
      <c r="H121" s="269">
        <v>1000</v>
      </c>
    </row>
    <row r="122" spans="1:8" outlineLevel="1" collapsed="1" x14ac:dyDescent="0.25">
      <c r="A122" s="286" t="s">
        <v>1061</v>
      </c>
      <c r="B122" s="738"/>
      <c r="C122" s="739"/>
      <c r="D122" s="739"/>
      <c r="E122" s="739"/>
      <c r="F122" s="739"/>
      <c r="G122" s="740"/>
      <c r="H122" s="288">
        <f>SUBTOTAL(9,H119:H121)</f>
        <v>1161.48</v>
      </c>
    </row>
    <row r="123" spans="1:8" ht="30" hidden="1" outlineLevel="2" x14ac:dyDescent="0.25">
      <c r="A123" s="44" t="s">
        <v>289</v>
      </c>
      <c r="B123" s="274">
        <v>44470</v>
      </c>
      <c r="C123" s="44" t="s">
        <v>1036</v>
      </c>
      <c r="D123" s="275">
        <v>100004929</v>
      </c>
      <c r="E123" s="44" t="s">
        <v>992</v>
      </c>
      <c r="F123" s="44" t="s">
        <v>920</v>
      </c>
      <c r="G123" s="44" t="s">
        <v>941</v>
      </c>
      <c r="H123" s="269">
        <v>900</v>
      </c>
    </row>
    <row r="124" spans="1:8" ht="30" hidden="1" outlineLevel="2" x14ac:dyDescent="0.25">
      <c r="A124" s="44" t="s">
        <v>289</v>
      </c>
      <c r="B124" s="274">
        <v>44473</v>
      </c>
      <c r="C124" s="44" t="s">
        <v>1036</v>
      </c>
      <c r="D124" s="275">
        <v>100004936</v>
      </c>
      <c r="E124" s="44" t="s">
        <v>946</v>
      </c>
      <c r="F124" s="44" t="s">
        <v>947</v>
      </c>
      <c r="G124" s="44" t="s">
        <v>948</v>
      </c>
      <c r="H124" s="269">
        <v>100</v>
      </c>
    </row>
    <row r="125" spans="1:8" outlineLevel="1" collapsed="1" x14ac:dyDescent="0.25">
      <c r="A125" s="286" t="s">
        <v>1062</v>
      </c>
      <c r="B125" s="738"/>
      <c r="C125" s="739"/>
      <c r="D125" s="739"/>
      <c r="E125" s="739"/>
      <c r="F125" s="739"/>
      <c r="G125" s="740"/>
      <c r="H125" s="288">
        <f>SUBTOTAL(9,H123:H124)</f>
        <v>1000</v>
      </c>
    </row>
    <row r="126" spans="1:8" hidden="1" outlineLevel="2" x14ac:dyDescent="0.25">
      <c r="A126" s="44" t="s">
        <v>265</v>
      </c>
      <c r="B126" s="274">
        <v>44484</v>
      </c>
      <c r="C126" s="44" t="s">
        <v>1032</v>
      </c>
      <c r="D126" s="275">
        <v>6616</v>
      </c>
      <c r="E126" s="44" t="s">
        <v>846</v>
      </c>
      <c r="F126" s="44" t="s">
        <v>894</v>
      </c>
      <c r="G126" s="44" t="s">
        <v>895</v>
      </c>
      <c r="H126" s="276">
        <v>355</v>
      </c>
    </row>
    <row r="127" spans="1:8" outlineLevel="1" collapsed="1" x14ac:dyDescent="0.25">
      <c r="A127" s="286" t="s">
        <v>1063</v>
      </c>
      <c r="B127" s="738"/>
      <c r="C127" s="739"/>
      <c r="D127" s="739"/>
      <c r="E127" s="739"/>
      <c r="F127" s="739"/>
      <c r="G127" s="740"/>
      <c r="H127" s="288">
        <f>SUBTOTAL(9,H126:H126)</f>
        <v>355</v>
      </c>
    </row>
    <row r="128" spans="1:8" hidden="1" outlineLevel="2" x14ac:dyDescent="0.25">
      <c r="A128" s="44" t="s">
        <v>238</v>
      </c>
      <c r="B128" s="274">
        <v>44495</v>
      </c>
      <c r="C128" s="44" t="s">
        <v>1034</v>
      </c>
      <c r="D128" s="275">
        <v>500003105</v>
      </c>
      <c r="E128" s="44" t="s">
        <v>724</v>
      </c>
      <c r="F128" s="44" t="s">
        <v>735</v>
      </c>
      <c r="G128" s="44"/>
      <c r="H128" s="276">
        <v>433.02</v>
      </c>
    </row>
    <row r="129" spans="1:8" hidden="1" outlineLevel="2" x14ac:dyDescent="0.25">
      <c r="A129" s="44" t="s">
        <v>238</v>
      </c>
      <c r="B129" s="274">
        <v>44487</v>
      </c>
      <c r="C129" s="44" t="s">
        <v>1032</v>
      </c>
      <c r="D129" s="275">
        <v>6617</v>
      </c>
      <c r="E129" s="44" t="s">
        <v>846</v>
      </c>
      <c r="F129" s="44" t="s">
        <v>213</v>
      </c>
      <c r="G129" s="44" t="s">
        <v>864</v>
      </c>
      <c r="H129" s="276">
        <v>117.62</v>
      </c>
    </row>
    <row r="130" spans="1:8" hidden="1" outlineLevel="2" x14ac:dyDescent="0.25">
      <c r="A130" s="44" t="s">
        <v>238</v>
      </c>
      <c r="B130" s="274">
        <v>44487</v>
      </c>
      <c r="C130" s="44" t="s">
        <v>1032</v>
      </c>
      <c r="D130" s="275">
        <v>6617</v>
      </c>
      <c r="E130" s="44" t="s">
        <v>846</v>
      </c>
      <c r="F130" s="44" t="s">
        <v>863</v>
      </c>
      <c r="G130" s="44">
        <v>72328</v>
      </c>
      <c r="H130" s="276">
        <v>280.56</v>
      </c>
    </row>
    <row r="131" spans="1:8" hidden="1" outlineLevel="2" x14ac:dyDescent="0.25">
      <c r="A131" s="44" t="s">
        <v>238</v>
      </c>
      <c r="B131" s="274">
        <v>44487</v>
      </c>
      <c r="C131" s="44" t="s">
        <v>1032</v>
      </c>
      <c r="D131" s="275">
        <v>6617</v>
      </c>
      <c r="E131" s="44" t="s">
        <v>846</v>
      </c>
      <c r="F131" s="44" t="s">
        <v>896</v>
      </c>
      <c r="G131" s="44" t="s">
        <v>897</v>
      </c>
      <c r="H131" s="276">
        <v>841.8</v>
      </c>
    </row>
    <row r="132" spans="1:8" hidden="1" outlineLevel="2" x14ac:dyDescent="0.25">
      <c r="A132" s="44" t="s">
        <v>238</v>
      </c>
      <c r="B132" s="274">
        <v>44498</v>
      </c>
      <c r="C132" s="44" t="s">
        <v>1036</v>
      </c>
      <c r="D132" s="275">
        <v>100004991</v>
      </c>
      <c r="E132" s="44" t="s">
        <v>993</v>
      </c>
      <c r="F132" s="44" t="s">
        <v>920</v>
      </c>
      <c r="G132" s="44" t="s">
        <v>918</v>
      </c>
      <c r="H132" s="269">
        <v>1200</v>
      </c>
    </row>
    <row r="133" spans="1:8" outlineLevel="1" collapsed="1" x14ac:dyDescent="0.25">
      <c r="A133" s="286" t="s">
        <v>1064</v>
      </c>
      <c r="B133" s="738"/>
      <c r="C133" s="739"/>
      <c r="D133" s="739"/>
      <c r="E133" s="739"/>
      <c r="F133" s="739"/>
      <c r="G133" s="740"/>
      <c r="H133" s="288">
        <f>SUBTOTAL(9,H128:H132)</f>
        <v>2873</v>
      </c>
    </row>
    <row r="134" spans="1:8" hidden="1" outlineLevel="2" x14ac:dyDescent="0.25">
      <c r="A134" s="44" t="s">
        <v>106</v>
      </c>
      <c r="B134" s="274">
        <v>44495</v>
      </c>
      <c r="C134" s="44" t="s">
        <v>1034</v>
      </c>
      <c r="D134" s="275">
        <v>500003105</v>
      </c>
      <c r="E134" s="44" t="s">
        <v>724</v>
      </c>
      <c r="F134" s="44" t="s">
        <v>735</v>
      </c>
      <c r="G134" s="44"/>
      <c r="H134" s="276">
        <v>2882.04</v>
      </c>
    </row>
    <row r="135" spans="1:8" hidden="1" outlineLevel="2" x14ac:dyDescent="0.25">
      <c r="A135" s="278" t="s">
        <v>106</v>
      </c>
      <c r="B135" s="279">
        <v>44489</v>
      </c>
      <c r="C135" s="278" t="s">
        <v>1033</v>
      </c>
      <c r="D135" s="275">
        <v>7714</v>
      </c>
      <c r="E135" s="278" t="s">
        <v>841</v>
      </c>
      <c r="F135" s="278" t="s">
        <v>842</v>
      </c>
      <c r="G135" s="278" t="s">
        <v>843</v>
      </c>
      <c r="H135" s="269">
        <v>650</v>
      </c>
    </row>
    <row r="136" spans="1:8" outlineLevel="1" collapsed="1" x14ac:dyDescent="0.25">
      <c r="A136" s="286" t="s">
        <v>1065</v>
      </c>
      <c r="B136" s="738"/>
      <c r="C136" s="739"/>
      <c r="D136" s="739"/>
      <c r="E136" s="739"/>
      <c r="F136" s="739"/>
      <c r="G136" s="740"/>
      <c r="H136" s="288">
        <f>SUBTOTAL(9,H134:H135)</f>
        <v>3532.04</v>
      </c>
    </row>
    <row r="137" spans="1:8" ht="45" hidden="1" outlineLevel="2" x14ac:dyDescent="0.25">
      <c r="A137" s="44" t="s">
        <v>183</v>
      </c>
      <c r="B137" s="274">
        <v>44495</v>
      </c>
      <c r="C137" s="44" t="s">
        <v>1034</v>
      </c>
      <c r="D137" s="275">
        <v>100000119</v>
      </c>
      <c r="E137" s="44" t="s">
        <v>767</v>
      </c>
      <c r="F137" s="44" t="s">
        <v>785</v>
      </c>
      <c r="G137" s="44"/>
      <c r="H137" s="276">
        <v>41500</v>
      </c>
    </row>
    <row r="138" spans="1:8" hidden="1" outlineLevel="2" x14ac:dyDescent="0.25">
      <c r="A138" s="44" t="s">
        <v>183</v>
      </c>
      <c r="B138" s="274">
        <v>44496</v>
      </c>
      <c r="C138" s="44" t="s">
        <v>1034</v>
      </c>
      <c r="D138" s="275">
        <v>300000103</v>
      </c>
      <c r="E138" s="44" t="s">
        <v>728</v>
      </c>
      <c r="F138" s="44" t="s">
        <v>786</v>
      </c>
      <c r="G138" s="44"/>
      <c r="H138" s="276">
        <v>7595.04</v>
      </c>
    </row>
    <row r="139" spans="1:8" hidden="1" outlineLevel="2" x14ac:dyDescent="0.25">
      <c r="A139" s="44" t="s">
        <v>183</v>
      </c>
      <c r="B139" s="274">
        <v>44496</v>
      </c>
      <c r="C139" s="44" t="s">
        <v>1034</v>
      </c>
      <c r="D139" s="275">
        <v>300000103</v>
      </c>
      <c r="E139" s="44" t="s">
        <v>728</v>
      </c>
      <c r="F139" s="44" t="s">
        <v>787</v>
      </c>
      <c r="G139" s="44"/>
      <c r="H139" s="276">
        <v>2975.21</v>
      </c>
    </row>
    <row r="140" spans="1:8" hidden="1" outlineLevel="2" x14ac:dyDescent="0.25">
      <c r="A140" s="44" t="s">
        <v>183</v>
      </c>
      <c r="B140" s="274">
        <v>44496</v>
      </c>
      <c r="C140" s="44" t="s">
        <v>1034</v>
      </c>
      <c r="D140" s="275">
        <v>300000103</v>
      </c>
      <c r="E140" s="44" t="s">
        <v>728</v>
      </c>
      <c r="F140" s="44" t="s">
        <v>788</v>
      </c>
      <c r="G140" s="44"/>
      <c r="H140" s="276">
        <v>916.53</v>
      </c>
    </row>
    <row r="141" spans="1:8" hidden="1" outlineLevel="2" x14ac:dyDescent="0.25">
      <c r="A141" s="44" t="s">
        <v>183</v>
      </c>
      <c r="B141" s="274">
        <v>44473</v>
      </c>
      <c r="C141" s="44" t="s">
        <v>1032</v>
      </c>
      <c r="D141" s="275">
        <v>6538</v>
      </c>
      <c r="E141" s="44" t="s">
        <v>846</v>
      </c>
      <c r="F141" s="44" t="s">
        <v>875</v>
      </c>
      <c r="G141" s="44" t="s">
        <v>898</v>
      </c>
      <c r="H141" s="276">
        <v>72.34</v>
      </c>
    </row>
    <row r="142" spans="1:8" hidden="1" outlineLevel="2" x14ac:dyDescent="0.25">
      <c r="A142" s="44" t="s">
        <v>183</v>
      </c>
      <c r="B142" s="274">
        <v>44481</v>
      </c>
      <c r="C142" s="44" t="s">
        <v>1032</v>
      </c>
      <c r="D142" s="275">
        <v>6558</v>
      </c>
      <c r="E142" s="44" t="s">
        <v>846</v>
      </c>
      <c r="F142" s="44" t="s">
        <v>877</v>
      </c>
      <c r="G142" s="44" t="s">
        <v>878</v>
      </c>
      <c r="H142" s="276">
        <v>63.11</v>
      </c>
    </row>
    <row r="143" spans="1:8" hidden="1" outlineLevel="2" x14ac:dyDescent="0.25">
      <c r="A143" s="44" t="s">
        <v>183</v>
      </c>
      <c r="B143" s="274">
        <v>44481</v>
      </c>
      <c r="C143" s="44" t="s">
        <v>1032</v>
      </c>
      <c r="D143" s="275">
        <v>6558</v>
      </c>
      <c r="E143" s="44" t="s">
        <v>846</v>
      </c>
      <c r="F143" s="44" t="s">
        <v>863</v>
      </c>
      <c r="G143" s="44">
        <v>72328</v>
      </c>
      <c r="H143" s="276">
        <v>361.62</v>
      </c>
    </row>
    <row r="144" spans="1:8" hidden="1" outlineLevel="2" x14ac:dyDescent="0.25">
      <c r="A144" s="44" t="s">
        <v>183</v>
      </c>
      <c r="B144" s="274">
        <v>44494</v>
      </c>
      <c r="C144" s="44" t="s">
        <v>1032</v>
      </c>
      <c r="D144" s="275">
        <v>6606</v>
      </c>
      <c r="E144" s="44" t="s">
        <v>846</v>
      </c>
      <c r="F144" s="44" t="s">
        <v>892</v>
      </c>
      <c r="G144" s="44" t="s">
        <v>893</v>
      </c>
      <c r="H144" s="276">
        <v>122.96</v>
      </c>
    </row>
    <row r="145" spans="1:8" hidden="1" outlineLevel="2" x14ac:dyDescent="0.25">
      <c r="A145" s="44" t="s">
        <v>183</v>
      </c>
      <c r="B145" s="274">
        <v>44498</v>
      </c>
      <c r="C145" s="44" t="s">
        <v>1036</v>
      </c>
      <c r="D145" s="275">
        <v>100004993</v>
      </c>
      <c r="E145" s="44" t="s">
        <v>994</v>
      </c>
      <c r="F145" s="44" t="s">
        <v>937</v>
      </c>
      <c r="G145" s="44"/>
      <c r="H145" s="269">
        <v>11278.5129</v>
      </c>
    </row>
    <row r="146" spans="1:8" outlineLevel="1" collapsed="1" x14ac:dyDescent="0.25">
      <c r="A146" s="286" t="s">
        <v>1066</v>
      </c>
      <c r="B146" s="738"/>
      <c r="C146" s="739"/>
      <c r="D146" s="739"/>
      <c r="E146" s="739"/>
      <c r="F146" s="739"/>
      <c r="G146" s="740"/>
      <c r="H146" s="288">
        <f>SUBTOTAL(9,H137:H145)</f>
        <v>64885.322899999999</v>
      </c>
    </row>
    <row r="147" spans="1:8" ht="30" hidden="1" outlineLevel="2" x14ac:dyDescent="0.25">
      <c r="A147" s="44" t="s">
        <v>471</v>
      </c>
      <c r="B147" s="274">
        <v>44473</v>
      </c>
      <c r="C147" s="44" t="s">
        <v>1036</v>
      </c>
      <c r="D147" s="275">
        <v>100004936</v>
      </c>
      <c r="E147" s="44" t="s">
        <v>946</v>
      </c>
      <c r="F147" s="44" t="s">
        <v>947</v>
      </c>
      <c r="G147" s="44" t="s">
        <v>948</v>
      </c>
      <c r="H147" s="269">
        <v>100</v>
      </c>
    </row>
    <row r="148" spans="1:8" outlineLevel="1" collapsed="1" x14ac:dyDescent="0.25">
      <c r="A148" s="292" t="s">
        <v>1067</v>
      </c>
      <c r="B148" s="752"/>
      <c r="C148" s="753"/>
      <c r="D148" s="753"/>
      <c r="E148" s="753"/>
      <c r="F148" s="753"/>
      <c r="G148" s="754"/>
      <c r="H148" s="293">
        <f>SUBTOTAL(9,H147:H147)</f>
        <v>100</v>
      </c>
    </row>
    <row r="149" spans="1:8" hidden="1" outlineLevel="2" x14ac:dyDescent="0.25">
      <c r="A149" s="44" t="s">
        <v>49</v>
      </c>
      <c r="B149" s="274">
        <v>44474</v>
      </c>
      <c r="C149" s="44" t="s">
        <v>1034</v>
      </c>
      <c r="D149" s="275">
        <v>200000058</v>
      </c>
      <c r="E149" s="44" t="s">
        <v>733</v>
      </c>
      <c r="F149" s="44" t="s">
        <v>738</v>
      </c>
      <c r="G149" s="44"/>
      <c r="H149" s="276">
        <v>1300</v>
      </c>
    </row>
    <row r="150" spans="1:8" hidden="1" outlineLevel="2" x14ac:dyDescent="0.25">
      <c r="A150" s="44" t="s">
        <v>49</v>
      </c>
      <c r="B150" s="274">
        <v>44496</v>
      </c>
      <c r="C150" s="44" t="s">
        <v>1034</v>
      </c>
      <c r="D150" s="275">
        <v>300000103</v>
      </c>
      <c r="E150" s="44" t="s">
        <v>728</v>
      </c>
      <c r="F150" s="44" t="s">
        <v>788</v>
      </c>
      <c r="G150" s="44"/>
      <c r="H150" s="276">
        <v>916.53</v>
      </c>
    </row>
    <row r="151" spans="1:8" hidden="1" outlineLevel="2" x14ac:dyDescent="0.25">
      <c r="A151" s="44" t="s">
        <v>49</v>
      </c>
      <c r="B151" s="274">
        <v>44475</v>
      </c>
      <c r="C151" s="44" t="s">
        <v>1032</v>
      </c>
      <c r="D151" s="275">
        <v>6551</v>
      </c>
      <c r="E151" s="44" t="s">
        <v>846</v>
      </c>
      <c r="F151" s="44" t="s">
        <v>875</v>
      </c>
      <c r="G151" s="44" t="s">
        <v>898</v>
      </c>
      <c r="H151" s="276">
        <v>144.68</v>
      </c>
    </row>
    <row r="152" spans="1:8" hidden="1" outlineLevel="2" x14ac:dyDescent="0.25">
      <c r="A152" s="44" t="s">
        <v>49</v>
      </c>
      <c r="B152" s="274">
        <v>44490</v>
      </c>
      <c r="C152" s="44" t="s">
        <v>1032</v>
      </c>
      <c r="D152" s="275">
        <v>6599</v>
      </c>
      <c r="E152" s="44" t="s">
        <v>846</v>
      </c>
      <c r="F152" s="44" t="s">
        <v>899</v>
      </c>
      <c r="G152" s="44" t="s">
        <v>900</v>
      </c>
      <c r="H152" s="276">
        <v>151.11000000000001</v>
      </c>
    </row>
    <row r="153" spans="1:8" ht="30" hidden="1" outlineLevel="2" x14ac:dyDescent="0.25">
      <c r="A153" s="44" t="s">
        <v>49</v>
      </c>
      <c r="B153" s="274">
        <v>44473</v>
      </c>
      <c r="C153" s="44" t="s">
        <v>1036</v>
      </c>
      <c r="D153" s="275">
        <v>100004936</v>
      </c>
      <c r="E153" s="44" t="s">
        <v>946</v>
      </c>
      <c r="F153" s="44" t="s">
        <v>947</v>
      </c>
      <c r="G153" s="44" t="s">
        <v>948</v>
      </c>
      <c r="H153" s="269">
        <v>100</v>
      </c>
    </row>
    <row r="154" spans="1:8" outlineLevel="1" collapsed="1" x14ac:dyDescent="0.25">
      <c r="A154" s="286" t="s">
        <v>1068</v>
      </c>
      <c r="B154" s="738"/>
      <c r="C154" s="739"/>
      <c r="D154" s="739"/>
      <c r="E154" s="739"/>
      <c r="F154" s="739"/>
      <c r="G154" s="740"/>
      <c r="H154" s="288">
        <f>SUBTOTAL(9,H149:H153)</f>
        <v>2612.3199999999997</v>
      </c>
    </row>
    <row r="155" spans="1:8" hidden="1" outlineLevel="2" x14ac:dyDescent="0.25">
      <c r="A155" s="44" t="s">
        <v>253</v>
      </c>
      <c r="B155" s="274">
        <v>44474</v>
      </c>
      <c r="C155" s="44" t="s">
        <v>1034</v>
      </c>
      <c r="D155" s="275">
        <v>200000058</v>
      </c>
      <c r="E155" s="44" t="s">
        <v>733</v>
      </c>
      <c r="F155" s="44" t="s">
        <v>746</v>
      </c>
      <c r="G155" s="44"/>
      <c r="H155" s="276">
        <v>1300</v>
      </c>
    </row>
    <row r="156" spans="1:8" hidden="1" outlineLevel="2" x14ac:dyDescent="0.25">
      <c r="A156" s="44" t="s">
        <v>253</v>
      </c>
      <c r="B156" s="274">
        <v>44474</v>
      </c>
      <c r="C156" s="44" t="s">
        <v>1034</v>
      </c>
      <c r="D156" s="275">
        <v>200000058</v>
      </c>
      <c r="E156" s="44" t="s">
        <v>733</v>
      </c>
      <c r="F156" s="44" t="s">
        <v>789</v>
      </c>
      <c r="G156" s="44"/>
      <c r="H156" s="276">
        <v>700</v>
      </c>
    </row>
    <row r="157" spans="1:8" hidden="1" outlineLevel="2" x14ac:dyDescent="0.25">
      <c r="A157" s="44" t="s">
        <v>253</v>
      </c>
      <c r="B157" s="274">
        <v>44483</v>
      </c>
      <c r="C157" s="44" t="s">
        <v>1032</v>
      </c>
      <c r="D157" s="275">
        <v>6573</v>
      </c>
      <c r="E157" s="44" t="s">
        <v>846</v>
      </c>
      <c r="F157" s="44" t="s">
        <v>213</v>
      </c>
      <c r="G157" s="44" t="s">
        <v>864</v>
      </c>
      <c r="H157" s="276">
        <v>72.98</v>
      </c>
    </row>
    <row r="158" spans="1:8" hidden="1" outlineLevel="2" x14ac:dyDescent="0.25">
      <c r="A158" s="44" t="s">
        <v>253</v>
      </c>
      <c r="B158" s="274">
        <v>44483</v>
      </c>
      <c r="C158" s="44" t="s">
        <v>1032</v>
      </c>
      <c r="D158" s="275">
        <v>6573</v>
      </c>
      <c r="E158" s="44" t="s">
        <v>846</v>
      </c>
      <c r="F158" s="44" t="s">
        <v>863</v>
      </c>
      <c r="G158" s="44">
        <v>72328</v>
      </c>
      <c r="H158" s="276">
        <v>361.62</v>
      </c>
    </row>
    <row r="159" spans="1:8" hidden="1" outlineLevel="2" x14ac:dyDescent="0.25">
      <c r="A159" s="44" t="s">
        <v>253</v>
      </c>
      <c r="B159" s="274">
        <v>44483</v>
      </c>
      <c r="C159" s="44" t="s">
        <v>1032</v>
      </c>
      <c r="D159" s="275">
        <v>6573</v>
      </c>
      <c r="E159" s="44" t="s">
        <v>846</v>
      </c>
      <c r="F159" s="44" t="s">
        <v>899</v>
      </c>
      <c r="G159" s="44" t="s">
        <v>900</v>
      </c>
      <c r="H159" s="276">
        <v>151.11000000000001</v>
      </c>
    </row>
    <row r="160" spans="1:8" outlineLevel="1" collapsed="1" x14ac:dyDescent="0.25">
      <c r="A160" s="286" t="s">
        <v>1069</v>
      </c>
      <c r="B160" s="738"/>
      <c r="C160" s="739"/>
      <c r="D160" s="739"/>
      <c r="E160" s="739"/>
      <c r="F160" s="739"/>
      <c r="G160" s="740"/>
      <c r="H160" s="288">
        <f>SUBTOTAL(9,H155:H159)</f>
        <v>2585.71</v>
      </c>
    </row>
    <row r="161" spans="1:8" hidden="1" outlineLevel="2" x14ac:dyDescent="0.25">
      <c r="A161" s="44" t="s">
        <v>225</v>
      </c>
      <c r="B161" s="274">
        <v>44471</v>
      </c>
      <c r="C161" s="44" t="s">
        <v>1032</v>
      </c>
      <c r="D161" s="275">
        <v>6531</v>
      </c>
      <c r="E161" s="44" t="s">
        <v>846</v>
      </c>
      <c r="F161" s="44" t="s">
        <v>867</v>
      </c>
      <c r="G161" s="44" t="s">
        <v>868</v>
      </c>
      <c r="H161" s="276">
        <v>143.5</v>
      </c>
    </row>
    <row r="162" spans="1:8" hidden="1" outlineLevel="2" x14ac:dyDescent="0.25">
      <c r="A162" s="44" t="s">
        <v>225</v>
      </c>
      <c r="B162" s="274">
        <v>44471</v>
      </c>
      <c r="C162" s="44" t="s">
        <v>1032</v>
      </c>
      <c r="D162" s="275">
        <v>6531</v>
      </c>
      <c r="E162" s="44" t="s">
        <v>846</v>
      </c>
      <c r="F162" s="44" t="s">
        <v>899</v>
      </c>
      <c r="G162" s="44" t="s">
        <v>900</v>
      </c>
      <c r="H162" s="276">
        <v>151.11000000000001</v>
      </c>
    </row>
    <row r="163" spans="1:8" ht="30" hidden="1" outlineLevel="2" x14ac:dyDescent="0.25">
      <c r="A163" s="44" t="s">
        <v>225</v>
      </c>
      <c r="B163" s="274">
        <v>44473</v>
      </c>
      <c r="C163" s="44" t="s">
        <v>1036</v>
      </c>
      <c r="D163" s="275">
        <v>100004936</v>
      </c>
      <c r="E163" s="44" t="s">
        <v>946</v>
      </c>
      <c r="F163" s="44" t="s">
        <v>947</v>
      </c>
      <c r="G163" s="44" t="s">
        <v>948</v>
      </c>
      <c r="H163" s="269">
        <v>100</v>
      </c>
    </row>
    <row r="164" spans="1:8" outlineLevel="1" collapsed="1" x14ac:dyDescent="0.25">
      <c r="A164" s="286" t="s">
        <v>1070</v>
      </c>
      <c r="B164" s="738"/>
      <c r="C164" s="739"/>
      <c r="D164" s="739"/>
      <c r="E164" s="739"/>
      <c r="F164" s="739"/>
      <c r="G164" s="740"/>
      <c r="H164" s="288">
        <f>SUBTOTAL(9,H161:H163)</f>
        <v>394.61</v>
      </c>
    </row>
    <row r="165" spans="1:8" hidden="1" outlineLevel="2" x14ac:dyDescent="0.25">
      <c r="A165" s="44" t="s">
        <v>463</v>
      </c>
      <c r="B165" s="274">
        <v>44495</v>
      </c>
      <c r="C165" s="44" t="s">
        <v>1034</v>
      </c>
      <c r="D165" s="275">
        <v>500003105</v>
      </c>
      <c r="E165" s="44" t="s">
        <v>724</v>
      </c>
      <c r="F165" s="44" t="s">
        <v>735</v>
      </c>
      <c r="G165" s="44"/>
      <c r="H165" s="276">
        <v>360</v>
      </c>
    </row>
    <row r="166" spans="1:8" outlineLevel="1" collapsed="1" x14ac:dyDescent="0.25">
      <c r="A166" s="292" t="s">
        <v>1071</v>
      </c>
      <c r="B166" s="752"/>
      <c r="C166" s="753"/>
      <c r="D166" s="753"/>
      <c r="E166" s="753"/>
      <c r="F166" s="753"/>
      <c r="G166" s="754"/>
      <c r="H166" s="293">
        <f>SUBTOTAL(9,H165:H165)</f>
        <v>360</v>
      </c>
    </row>
    <row r="167" spans="1:8" hidden="1" outlineLevel="2" x14ac:dyDescent="0.25">
      <c r="A167" s="44" t="s">
        <v>33</v>
      </c>
      <c r="B167" s="274">
        <v>44485</v>
      </c>
      <c r="C167" s="44" t="s">
        <v>1036</v>
      </c>
      <c r="D167" s="275">
        <v>100004959</v>
      </c>
      <c r="E167" s="44" t="s">
        <v>997</v>
      </c>
      <c r="F167" s="44" t="s">
        <v>937</v>
      </c>
      <c r="G167" s="44" t="s">
        <v>918</v>
      </c>
      <c r="H167" s="269">
        <v>7146.2811999999994</v>
      </c>
    </row>
    <row r="168" spans="1:8" outlineLevel="1" collapsed="1" x14ac:dyDescent="0.25">
      <c r="A168" s="286" t="s">
        <v>1072</v>
      </c>
      <c r="B168" s="738"/>
      <c r="C168" s="739"/>
      <c r="D168" s="739"/>
      <c r="E168" s="739"/>
      <c r="F168" s="739"/>
      <c r="G168" s="740"/>
      <c r="H168" s="288">
        <f>SUBTOTAL(9,H167:H167)</f>
        <v>7146.2811999999994</v>
      </c>
    </row>
    <row r="169" spans="1:8" hidden="1" outlineLevel="2" x14ac:dyDescent="0.25">
      <c r="A169" s="44" t="s">
        <v>66</v>
      </c>
      <c r="B169" s="274">
        <v>44494</v>
      </c>
      <c r="C169" s="44" t="s">
        <v>1032</v>
      </c>
      <c r="D169" s="275">
        <v>6627</v>
      </c>
      <c r="E169" s="44" t="s">
        <v>846</v>
      </c>
      <c r="F169" s="44" t="s">
        <v>863</v>
      </c>
      <c r="G169" s="44">
        <v>72328</v>
      </c>
      <c r="H169" s="276">
        <v>280.56</v>
      </c>
    </row>
    <row r="170" spans="1:8" outlineLevel="1" collapsed="1" x14ac:dyDescent="0.25">
      <c r="A170" s="286" t="s">
        <v>1073</v>
      </c>
      <c r="B170" s="738"/>
      <c r="C170" s="739"/>
      <c r="D170" s="739"/>
      <c r="E170" s="739"/>
      <c r="F170" s="739"/>
      <c r="G170" s="740"/>
      <c r="H170" s="288">
        <f>SUBTOTAL(9,H169:H169)</f>
        <v>280.56</v>
      </c>
    </row>
    <row r="171" spans="1:8" hidden="1" outlineLevel="2" x14ac:dyDescent="0.25">
      <c r="A171" s="44" t="s">
        <v>274</v>
      </c>
      <c r="B171" s="274">
        <v>44485</v>
      </c>
      <c r="C171" s="44" t="s">
        <v>1036</v>
      </c>
      <c r="D171" s="275">
        <v>100004959</v>
      </c>
      <c r="E171" s="44" t="s">
        <v>997</v>
      </c>
      <c r="F171" s="44" t="s">
        <v>937</v>
      </c>
      <c r="G171" s="44" t="s">
        <v>918</v>
      </c>
      <c r="H171" s="269">
        <v>7146.2811999999994</v>
      </c>
    </row>
    <row r="172" spans="1:8" ht="30" hidden="1" outlineLevel="2" x14ac:dyDescent="0.25">
      <c r="A172" s="44" t="s">
        <v>274</v>
      </c>
      <c r="B172" s="274">
        <v>44490</v>
      </c>
      <c r="C172" s="44" t="s">
        <v>1036</v>
      </c>
      <c r="D172" s="275">
        <v>100004966</v>
      </c>
      <c r="E172" s="44" t="s">
        <v>944</v>
      </c>
      <c r="F172" s="44" t="s">
        <v>934</v>
      </c>
      <c r="G172" s="44" t="s">
        <v>918</v>
      </c>
      <c r="H172" s="269">
        <v>1416.8436000000002</v>
      </c>
    </row>
    <row r="173" spans="1:8" hidden="1" outlineLevel="2" x14ac:dyDescent="0.25">
      <c r="A173" s="44" t="s">
        <v>274</v>
      </c>
      <c r="B173" s="274">
        <v>44490</v>
      </c>
      <c r="C173" s="44" t="s">
        <v>1036</v>
      </c>
      <c r="D173" s="275">
        <v>100004966</v>
      </c>
      <c r="E173" s="44" t="s">
        <v>945</v>
      </c>
      <c r="F173" s="44" t="s">
        <v>917</v>
      </c>
      <c r="G173" s="44" t="s">
        <v>918</v>
      </c>
      <c r="H173" s="269">
        <v>1500</v>
      </c>
    </row>
    <row r="174" spans="1:8" outlineLevel="1" collapsed="1" x14ac:dyDescent="0.25">
      <c r="A174" s="286" t="s">
        <v>1074</v>
      </c>
      <c r="B174" s="738"/>
      <c r="C174" s="739"/>
      <c r="D174" s="739"/>
      <c r="E174" s="739"/>
      <c r="F174" s="739"/>
      <c r="G174" s="740"/>
      <c r="H174" s="288">
        <f>SUBTOTAL(9,H171:H173)</f>
        <v>10063.1248</v>
      </c>
    </row>
    <row r="175" spans="1:8" hidden="1" outlineLevel="2" x14ac:dyDescent="0.25">
      <c r="A175" s="44" t="s">
        <v>450</v>
      </c>
      <c r="B175" s="274">
        <v>44470</v>
      </c>
      <c r="C175" s="44" t="s">
        <v>1034</v>
      </c>
      <c r="D175" s="275">
        <v>500033638</v>
      </c>
      <c r="E175" s="44" t="s">
        <v>713</v>
      </c>
      <c r="F175" s="44" t="s">
        <v>714</v>
      </c>
      <c r="G175" s="44"/>
      <c r="H175" s="276">
        <v>1252.6099999999999</v>
      </c>
    </row>
    <row r="176" spans="1:8" outlineLevel="1" collapsed="1" x14ac:dyDescent="0.25">
      <c r="A176" s="292" t="s">
        <v>1076</v>
      </c>
      <c r="B176" s="752"/>
      <c r="C176" s="753"/>
      <c r="D176" s="753"/>
      <c r="E176" s="753"/>
      <c r="F176" s="753"/>
      <c r="G176" s="754"/>
      <c r="H176" s="293">
        <f>SUBTOTAL(9,H175:H175)</f>
        <v>1252.6099999999999</v>
      </c>
    </row>
    <row r="177" spans="1:8" hidden="1" outlineLevel="2" x14ac:dyDescent="0.25">
      <c r="A177" s="44" t="s">
        <v>452</v>
      </c>
      <c r="B177" s="274">
        <v>44470</v>
      </c>
      <c r="C177" s="44" t="s">
        <v>1034</v>
      </c>
      <c r="D177" s="275">
        <v>500033638</v>
      </c>
      <c r="E177" s="44" t="s">
        <v>713</v>
      </c>
      <c r="F177" s="44" t="s">
        <v>714</v>
      </c>
      <c r="G177" s="44"/>
      <c r="H177" s="276">
        <v>1252.6099999999999</v>
      </c>
    </row>
    <row r="178" spans="1:8" outlineLevel="1" collapsed="1" x14ac:dyDescent="0.25">
      <c r="A178" s="292" t="s">
        <v>1077</v>
      </c>
      <c r="B178" s="752"/>
      <c r="C178" s="753"/>
      <c r="D178" s="753"/>
      <c r="E178" s="753"/>
      <c r="F178" s="753"/>
      <c r="G178" s="754"/>
      <c r="H178" s="293">
        <f>SUBTOTAL(9,H177:H177)</f>
        <v>1252.6099999999999</v>
      </c>
    </row>
    <row r="179" spans="1:8" ht="45" hidden="1" outlineLevel="2" x14ac:dyDescent="0.25">
      <c r="A179" s="44" t="s">
        <v>258</v>
      </c>
      <c r="B179" s="274">
        <v>44476</v>
      </c>
      <c r="C179" s="44" t="s">
        <v>1034</v>
      </c>
      <c r="D179" s="275">
        <v>200000129</v>
      </c>
      <c r="E179" s="44" t="s">
        <v>736</v>
      </c>
      <c r="F179" s="44" t="s">
        <v>821</v>
      </c>
      <c r="G179" s="44"/>
      <c r="H179" s="276">
        <v>65800</v>
      </c>
    </row>
    <row r="180" spans="1:8" hidden="1" outlineLevel="2" x14ac:dyDescent="0.25">
      <c r="A180" s="44" t="s">
        <v>258</v>
      </c>
      <c r="B180" s="274">
        <v>44488</v>
      </c>
      <c r="C180" s="44" t="s">
        <v>1032</v>
      </c>
      <c r="D180" s="275">
        <v>6619</v>
      </c>
      <c r="E180" s="44" t="s">
        <v>846</v>
      </c>
      <c r="F180" s="44" t="s">
        <v>902</v>
      </c>
      <c r="G180" s="44" t="s">
        <v>903</v>
      </c>
      <c r="H180" s="276">
        <v>46.1</v>
      </c>
    </row>
    <row r="181" spans="1:8" hidden="1" outlineLevel="2" x14ac:dyDescent="0.25">
      <c r="A181" s="44" t="s">
        <v>258</v>
      </c>
      <c r="B181" s="274">
        <v>44488</v>
      </c>
      <c r="C181" s="44" t="s">
        <v>1032</v>
      </c>
      <c r="D181" s="275">
        <v>6619</v>
      </c>
      <c r="E181" s="44" t="s">
        <v>846</v>
      </c>
      <c r="F181" s="44" t="s">
        <v>904</v>
      </c>
      <c r="G181" s="44" t="s">
        <v>897</v>
      </c>
      <c r="H181" s="276">
        <v>360</v>
      </c>
    </row>
    <row r="182" spans="1:8" hidden="1" outlineLevel="2" x14ac:dyDescent="0.25">
      <c r="A182" s="44" t="s">
        <v>258</v>
      </c>
      <c r="B182" s="274">
        <v>44495</v>
      </c>
      <c r="C182" s="44" t="s">
        <v>1032</v>
      </c>
      <c r="D182" s="275">
        <v>6629</v>
      </c>
      <c r="E182" s="44" t="s">
        <v>846</v>
      </c>
      <c r="F182" s="44" t="s">
        <v>213</v>
      </c>
      <c r="G182" s="44" t="s">
        <v>864</v>
      </c>
      <c r="H182" s="276">
        <v>84.02</v>
      </c>
    </row>
    <row r="183" spans="1:8" outlineLevel="1" collapsed="1" x14ac:dyDescent="0.25">
      <c r="A183" s="286" t="s">
        <v>1078</v>
      </c>
      <c r="B183" s="738"/>
      <c r="C183" s="739"/>
      <c r="D183" s="739"/>
      <c r="E183" s="739"/>
      <c r="F183" s="739"/>
      <c r="G183" s="740"/>
      <c r="H183" s="288">
        <f>SUBTOTAL(9,H179:H182)</f>
        <v>66290.12000000001</v>
      </c>
    </row>
    <row r="184" spans="1:8" hidden="1" outlineLevel="2" x14ac:dyDescent="0.25">
      <c r="A184" s="44" t="s">
        <v>155</v>
      </c>
      <c r="B184" s="274">
        <v>44495</v>
      </c>
      <c r="C184" s="44" t="s">
        <v>1034</v>
      </c>
      <c r="D184" s="275">
        <v>500003105</v>
      </c>
      <c r="E184" s="44" t="s">
        <v>724</v>
      </c>
      <c r="F184" s="44" t="s">
        <v>735</v>
      </c>
      <c r="G184" s="44"/>
      <c r="H184" s="276">
        <v>432.31</v>
      </c>
    </row>
    <row r="185" spans="1:8" hidden="1" outlineLevel="2" x14ac:dyDescent="0.25">
      <c r="A185" s="44" t="s">
        <v>155</v>
      </c>
      <c r="B185" s="274">
        <v>44484</v>
      </c>
      <c r="C185" s="44" t="s">
        <v>1032</v>
      </c>
      <c r="D185" s="275">
        <v>6615</v>
      </c>
      <c r="E185" s="44" t="s">
        <v>846</v>
      </c>
      <c r="F185" s="44" t="s">
        <v>894</v>
      </c>
      <c r="G185" s="44" t="s">
        <v>895</v>
      </c>
      <c r="H185" s="276">
        <v>710</v>
      </c>
    </row>
    <row r="186" spans="1:8" hidden="1" outlineLevel="2" x14ac:dyDescent="0.25">
      <c r="A186" s="44" t="s">
        <v>155</v>
      </c>
      <c r="B186" s="274">
        <v>44495</v>
      </c>
      <c r="C186" s="44" t="s">
        <v>1032</v>
      </c>
      <c r="D186" s="275">
        <v>6628</v>
      </c>
      <c r="E186" s="44" t="s">
        <v>846</v>
      </c>
      <c r="F186" s="44" t="s">
        <v>213</v>
      </c>
      <c r="G186" s="44" t="s">
        <v>864</v>
      </c>
      <c r="H186" s="276">
        <v>84.02</v>
      </c>
    </row>
    <row r="187" spans="1:8" outlineLevel="1" collapsed="1" x14ac:dyDescent="0.25">
      <c r="A187" s="286" t="s">
        <v>1079</v>
      </c>
      <c r="B187" s="738"/>
      <c r="C187" s="739"/>
      <c r="D187" s="739"/>
      <c r="E187" s="739"/>
      <c r="F187" s="739"/>
      <c r="G187" s="740"/>
      <c r="H187" s="288">
        <f>SUBTOTAL(9,H184:H186)</f>
        <v>1226.33</v>
      </c>
    </row>
    <row r="188" spans="1:8" hidden="1" outlineLevel="2" x14ac:dyDescent="0.25">
      <c r="A188" s="44" t="s">
        <v>232</v>
      </c>
      <c r="B188" s="274">
        <v>44474</v>
      </c>
      <c r="C188" s="44" t="s">
        <v>1034</v>
      </c>
      <c r="D188" s="275">
        <v>200000058</v>
      </c>
      <c r="E188" s="44" t="s">
        <v>733</v>
      </c>
      <c r="F188" s="44" t="s">
        <v>734</v>
      </c>
      <c r="G188" s="44"/>
      <c r="H188" s="276">
        <v>1300</v>
      </c>
    </row>
    <row r="189" spans="1:8" outlineLevel="1" collapsed="1" x14ac:dyDescent="0.25">
      <c r="A189" s="286" t="s">
        <v>1080</v>
      </c>
      <c r="B189" s="738"/>
      <c r="C189" s="739"/>
      <c r="D189" s="739"/>
      <c r="E189" s="739"/>
      <c r="F189" s="739"/>
      <c r="G189" s="740"/>
      <c r="H189" s="288">
        <f>SUBTOTAL(9,H188:H188)</f>
        <v>1300</v>
      </c>
    </row>
    <row r="190" spans="1:8" ht="30" hidden="1" outlineLevel="2" x14ac:dyDescent="0.25">
      <c r="A190" s="44" t="s">
        <v>204</v>
      </c>
      <c r="B190" s="274">
        <v>44477</v>
      </c>
      <c r="C190" s="44" t="s">
        <v>1034</v>
      </c>
      <c r="D190" s="275">
        <v>200059187</v>
      </c>
      <c r="E190" s="44" t="s">
        <v>824</v>
      </c>
      <c r="F190" s="44" t="s">
        <v>825</v>
      </c>
      <c r="G190" s="44"/>
      <c r="H190" s="276">
        <v>725.45</v>
      </c>
    </row>
    <row r="191" spans="1:8" ht="30" hidden="1" outlineLevel="2" x14ac:dyDescent="0.25">
      <c r="A191" s="44" t="s">
        <v>204</v>
      </c>
      <c r="B191" s="274">
        <v>44477</v>
      </c>
      <c r="C191" s="44" t="s">
        <v>1034</v>
      </c>
      <c r="D191" s="275">
        <v>200059187</v>
      </c>
      <c r="E191" s="44" t="s">
        <v>824</v>
      </c>
      <c r="F191" s="44" t="s">
        <v>826</v>
      </c>
      <c r="G191" s="44"/>
      <c r="H191" s="276">
        <v>276.5</v>
      </c>
    </row>
    <row r="192" spans="1:8" ht="30" hidden="1" outlineLevel="2" x14ac:dyDescent="0.25">
      <c r="A192" s="44" t="s">
        <v>204</v>
      </c>
      <c r="B192" s="274">
        <v>44481</v>
      </c>
      <c r="C192" s="44" t="s">
        <v>1034</v>
      </c>
      <c r="D192" s="275">
        <v>200059256</v>
      </c>
      <c r="E192" s="44" t="s">
        <v>824</v>
      </c>
      <c r="F192" s="44" t="s">
        <v>827</v>
      </c>
      <c r="G192" s="44"/>
      <c r="H192" s="276">
        <v>219.61</v>
      </c>
    </row>
    <row r="193" spans="1:8" hidden="1" outlineLevel="2" x14ac:dyDescent="0.25">
      <c r="A193" s="44" t="s">
        <v>204</v>
      </c>
      <c r="B193" s="274">
        <v>44496</v>
      </c>
      <c r="C193" s="44" t="s">
        <v>1034</v>
      </c>
      <c r="D193" s="275">
        <v>200025670</v>
      </c>
      <c r="E193" s="44" t="s">
        <v>748</v>
      </c>
      <c r="F193" s="44" t="s">
        <v>828</v>
      </c>
      <c r="G193" s="44"/>
      <c r="H193" s="276">
        <v>410.83</v>
      </c>
    </row>
    <row r="194" spans="1:8" hidden="1" outlineLevel="2" x14ac:dyDescent="0.25">
      <c r="A194" s="44" t="s">
        <v>204</v>
      </c>
      <c r="B194" s="274">
        <v>44496</v>
      </c>
      <c r="C194" s="44" t="s">
        <v>1034</v>
      </c>
      <c r="D194" s="275">
        <v>200025670</v>
      </c>
      <c r="E194" s="44" t="s">
        <v>748</v>
      </c>
      <c r="F194" s="44" t="s">
        <v>829</v>
      </c>
      <c r="G194" s="44"/>
      <c r="H194" s="276">
        <v>506.92</v>
      </c>
    </row>
    <row r="195" spans="1:8" ht="30" hidden="1" outlineLevel="2" x14ac:dyDescent="0.25">
      <c r="A195" s="44" t="s">
        <v>204</v>
      </c>
      <c r="B195" s="274">
        <v>44488</v>
      </c>
      <c r="C195" s="44" t="s">
        <v>1035</v>
      </c>
      <c r="D195" s="275">
        <v>200012164</v>
      </c>
      <c r="E195" s="44" t="s">
        <v>824</v>
      </c>
      <c r="F195" s="44" t="s">
        <v>840</v>
      </c>
      <c r="G195" s="44"/>
      <c r="H195" s="276">
        <v>-244.31</v>
      </c>
    </row>
    <row r="196" spans="1:8" hidden="1" outlineLevel="2" x14ac:dyDescent="0.25">
      <c r="A196" s="44" t="s">
        <v>204</v>
      </c>
      <c r="B196" s="274">
        <v>44471</v>
      </c>
      <c r="C196" s="44" t="s">
        <v>1032</v>
      </c>
      <c r="D196" s="275">
        <v>6535</v>
      </c>
      <c r="E196" s="44" t="s">
        <v>846</v>
      </c>
      <c r="F196" s="44" t="s">
        <v>863</v>
      </c>
      <c r="G196" s="44">
        <v>72328</v>
      </c>
      <c r="H196" s="276">
        <v>361.62</v>
      </c>
    </row>
    <row r="197" spans="1:8" hidden="1" outlineLevel="2" x14ac:dyDescent="0.25">
      <c r="A197" s="44" t="s">
        <v>204</v>
      </c>
      <c r="B197" s="274">
        <v>44481</v>
      </c>
      <c r="C197" s="44" t="s">
        <v>1032</v>
      </c>
      <c r="D197" s="275">
        <v>6564</v>
      </c>
      <c r="E197" s="44" t="s">
        <v>846</v>
      </c>
      <c r="F197" s="44" t="s">
        <v>863</v>
      </c>
      <c r="G197" s="44">
        <v>72328</v>
      </c>
      <c r="H197" s="276">
        <v>361.62</v>
      </c>
    </row>
    <row r="198" spans="1:8" hidden="1" outlineLevel="2" x14ac:dyDescent="0.25">
      <c r="A198" s="44" t="s">
        <v>204</v>
      </c>
      <c r="B198" s="274">
        <v>44481</v>
      </c>
      <c r="C198" s="44" t="s">
        <v>1032</v>
      </c>
      <c r="D198" s="275">
        <v>6564</v>
      </c>
      <c r="E198" s="44" t="s">
        <v>846</v>
      </c>
      <c r="F198" s="44" t="s">
        <v>905</v>
      </c>
      <c r="G198" s="44">
        <v>72127</v>
      </c>
      <c r="H198" s="276">
        <v>183.16</v>
      </c>
    </row>
    <row r="199" spans="1:8" hidden="1" outlineLevel="2" x14ac:dyDescent="0.25">
      <c r="A199" s="44" t="s">
        <v>204</v>
      </c>
      <c r="B199" s="274">
        <v>44484</v>
      </c>
      <c r="C199" s="44" t="s">
        <v>1032</v>
      </c>
      <c r="D199" s="275">
        <v>6779</v>
      </c>
      <c r="E199" s="44" t="s">
        <v>846</v>
      </c>
      <c r="F199" s="44" t="s">
        <v>906</v>
      </c>
      <c r="G199" s="44" t="s">
        <v>907</v>
      </c>
      <c r="H199" s="276">
        <v>198</v>
      </c>
    </row>
    <row r="200" spans="1:8" outlineLevel="1" collapsed="1" x14ac:dyDescent="0.25">
      <c r="A200" s="286" t="s">
        <v>1081</v>
      </c>
      <c r="B200" s="738"/>
      <c r="C200" s="739"/>
      <c r="D200" s="739"/>
      <c r="E200" s="739"/>
      <c r="F200" s="739"/>
      <c r="G200" s="740"/>
      <c r="H200" s="288">
        <f>SUBTOTAL(9,H190:H199)</f>
        <v>2999.3999999999996</v>
      </c>
    </row>
    <row r="201" spans="1:8" hidden="1" outlineLevel="2" x14ac:dyDescent="0.25">
      <c r="A201" s="44" t="s">
        <v>300</v>
      </c>
      <c r="B201" s="274">
        <v>44485</v>
      </c>
      <c r="C201" s="44" t="s">
        <v>1036</v>
      </c>
      <c r="D201" s="275">
        <v>100004958</v>
      </c>
      <c r="E201" s="44" t="s">
        <v>1022</v>
      </c>
      <c r="F201" s="44" t="s">
        <v>920</v>
      </c>
      <c r="G201" s="44" t="s">
        <v>918</v>
      </c>
      <c r="H201" s="269">
        <v>1600</v>
      </c>
    </row>
    <row r="202" spans="1:8" outlineLevel="1" collapsed="1" x14ac:dyDescent="0.25">
      <c r="A202" s="286" t="s">
        <v>1082</v>
      </c>
      <c r="B202" s="738"/>
      <c r="C202" s="739"/>
      <c r="D202" s="739"/>
      <c r="E202" s="739"/>
      <c r="F202" s="739"/>
      <c r="G202" s="740"/>
      <c r="H202" s="288">
        <f>SUBTOTAL(9,H201:H201)</f>
        <v>1600</v>
      </c>
    </row>
    <row r="203" spans="1:8" hidden="1" outlineLevel="2" x14ac:dyDescent="0.25">
      <c r="A203" s="44" t="s">
        <v>313</v>
      </c>
      <c r="B203" s="274">
        <v>44485</v>
      </c>
      <c r="C203" s="44" t="s">
        <v>1036</v>
      </c>
      <c r="D203" s="275">
        <v>100004958</v>
      </c>
      <c r="E203" s="44" t="s">
        <v>1024</v>
      </c>
      <c r="F203" s="44" t="s">
        <v>1025</v>
      </c>
      <c r="G203" s="44" t="s">
        <v>918</v>
      </c>
      <c r="H203" s="269">
        <v>4243.84</v>
      </c>
    </row>
    <row r="204" spans="1:8" outlineLevel="1" collapsed="1" x14ac:dyDescent="0.25">
      <c r="A204" s="286" t="s">
        <v>1083</v>
      </c>
      <c r="B204" s="738"/>
      <c r="C204" s="739"/>
      <c r="D204" s="739"/>
      <c r="E204" s="739"/>
      <c r="F204" s="739"/>
      <c r="G204" s="740"/>
      <c r="H204" s="288">
        <f>SUBTOTAL(9,H203:H203)</f>
        <v>4243.84</v>
      </c>
    </row>
    <row r="205" spans="1:8" hidden="1" outlineLevel="2" x14ac:dyDescent="0.25">
      <c r="A205" s="44" t="s">
        <v>100</v>
      </c>
      <c r="B205" s="274">
        <v>44495</v>
      </c>
      <c r="C205" s="44" t="s">
        <v>1034</v>
      </c>
      <c r="D205" s="275">
        <v>500003105</v>
      </c>
      <c r="E205" s="44" t="s">
        <v>724</v>
      </c>
      <c r="F205" s="44" t="s">
        <v>735</v>
      </c>
      <c r="G205" s="44"/>
      <c r="H205" s="276">
        <v>1441.02</v>
      </c>
    </row>
    <row r="206" spans="1:8" outlineLevel="1" collapsed="1" x14ac:dyDescent="0.25">
      <c r="A206" s="286" t="s">
        <v>1084</v>
      </c>
      <c r="B206" s="738"/>
      <c r="C206" s="739"/>
      <c r="D206" s="739"/>
      <c r="E206" s="739"/>
      <c r="F206" s="739"/>
      <c r="G206" s="740"/>
      <c r="H206" s="288">
        <f>SUBTOTAL(9,H205:H205)</f>
        <v>1441.02</v>
      </c>
    </row>
    <row r="207" spans="1:8" hidden="1" outlineLevel="2" x14ac:dyDescent="0.25">
      <c r="A207" s="44" t="s">
        <v>175</v>
      </c>
      <c r="B207" s="274">
        <v>44474</v>
      </c>
      <c r="C207" s="44" t="s">
        <v>1034</v>
      </c>
      <c r="D207" s="275">
        <v>200000058</v>
      </c>
      <c r="E207" s="44" t="s">
        <v>733</v>
      </c>
      <c r="F207" s="44" t="s">
        <v>834</v>
      </c>
      <c r="G207" s="44"/>
      <c r="H207" s="276">
        <v>1500</v>
      </c>
    </row>
    <row r="208" spans="1:8" hidden="1" outlineLevel="2" x14ac:dyDescent="0.25">
      <c r="A208" s="44" t="s">
        <v>175</v>
      </c>
      <c r="B208" s="274">
        <v>44489</v>
      </c>
      <c r="C208" s="44" t="s">
        <v>1032</v>
      </c>
      <c r="D208" s="275">
        <v>6595</v>
      </c>
      <c r="E208" s="44" t="s">
        <v>846</v>
      </c>
      <c r="F208" s="44" t="s">
        <v>877</v>
      </c>
      <c r="G208" s="44" t="s">
        <v>878</v>
      </c>
      <c r="H208" s="276">
        <v>63.11</v>
      </c>
    </row>
    <row r="209" spans="1:8" ht="30" hidden="1" outlineLevel="2" x14ac:dyDescent="0.25">
      <c r="A209" s="44" t="s">
        <v>175</v>
      </c>
      <c r="B209" s="274">
        <v>44473</v>
      </c>
      <c r="C209" s="44" t="s">
        <v>1036</v>
      </c>
      <c r="D209" s="275">
        <v>100004936</v>
      </c>
      <c r="E209" s="44" t="s">
        <v>946</v>
      </c>
      <c r="F209" s="44" t="s">
        <v>947</v>
      </c>
      <c r="G209" s="44" t="s">
        <v>948</v>
      </c>
      <c r="H209" s="269">
        <v>100</v>
      </c>
    </row>
    <row r="210" spans="1:8" outlineLevel="1" collapsed="1" x14ac:dyDescent="0.25">
      <c r="A210" s="286" t="s">
        <v>1085</v>
      </c>
      <c r="B210" s="738"/>
      <c r="C210" s="739"/>
      <c r="D210" s="739"/>
      <c r="E210" s="739"/>
      <c r="F210" s="739"/>
      <c r="G210" s="740"/>
      <c r="H210" s="288">
        <f>SUBTOTAL(9,H207:H209)</f>
        <v>1663.11</v>
      </c>
    </row>
    <row r="211" spans="1:8" ht="30" x14ac:dyDescent="0.25">
      <c r="A211" s="272" t="s">
        <v>1086</v>
      </c>
      <c r="B211" s="744"/>
      <c r="C211" s="745"/>
      <c r="D211" s="745"/>
      <c r="E211" s="745"/>
      <c r="F211" s="745"/>
      <c r="G211" s="746"/>
      <c r="H211" s="273">
        <f>SUBTOTAL(9,H4:H209)</f>
        <v>449590.56429999997</v>
      </c>
    </row>
  </sheetData>
  <mergeCells count="50">
    <mergeCell ref="A1:H1"/>
    <mergeCell ref="B211:G211"/>
    <mergeCell ref="B170:G170"/>
    <mergeCell ref="B176:G176"/>
    <mergeCell ref="B174:G174"/>
    <mergeCell ref="B178:G178"/>
    <mergeCell ref="B183:G183"/>
    <mergeCell ref="B187:G187"/>
    <mergeCell ref="B189:G189"/>
    <mergeCell ref="B200:G200"/>
    <mergeCell ref="B202:G202"/>
    <mergeCell ref="B204:G204"/>
    <mergeCell ref="B206:G206"/>
    <mergeCell ref="B210:G210"/>
    <mergeCell ref="B125:G125"/>
    <mergeCell ref="B127:G127"/>
    <mergeCell ref="B160:G160"/>
    <mergeCell ref="B164:G164"/>
    <mergeCell ref="B166:G166"/>
    <mergeCell ref="B168:G168"/>
    <mergeCell ref="B118:G118"/>
    <mergeCell ref="B122:G122"/>
    <mergeCell ref="B133:G133"/>
    <mergeCell ref="B136:G136"/>
    <mergeCell ref="B146:G146"/>
    <mergeCell ref="B148:G148"/>
    <mergeCell ref="B154:G154"/>
    <mergeCell ref="B5:G5"/>
    <mergeCell ref="B7:G7"/>
    <mergeCell ref="B9:G9"/>
    <mergeCell ref="B13:G13"/>
    <mergeCell ref="B15:G15"/>
    <mergeCell ref="B24:G24"/>
    <mergeCell ref="B26:G26"/>
    <mergeCell ref="B41:G41"/>
    <mergeCell ref="B51:G51"/>
    <mergeCell ref="B53:G53"/>
    <mergeCell ref="B58:G58"/>
    <mergeCell ref="B62:G62"/>
    <mergeCell ref="B66:G66"/>
    <mergeCell ref="B43:G43"/>
    <mergeCell ref="B30:G30"/>
    <mergeCell ref="B35:G35"/>
    <mergeCell ref="B37:G37"/>
    <mergeCell ref="B39:G39"/>
    <mergeCell ref="B104:G104"/>
    <mergeCell ref="B69:G69"/>
    <mergeCell ref="B81:G81"/>
    <mergeCell ref="B85:G85"/>
    <mergeCell ref="B91:G9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U40"/>
  <sheetViews>
    <sheetView topLeftCell="A26" zoomScaleNormal="100" workbookViewId="0">
      <selection activeCell="A25" sqref="A25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28.28515625" style="2" bestFit="1" customWidth="1"/>
    <col min="8" max="8" width="20.140625" style="2" bestFit="1" customWidth="1"/>
    <col min="9" max="9" width="23.140625" style="2" bestFit="1" customWidth="1"/>
    <col min="10" max="10" width="8.71093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8" width="11.42578125" style="2"/>
    <col min="19" max="19" width="18.42578125" style="2" bestFit="1" customWidth="1"/>
    <col min="20" max="16384" width="11.42578125" style="2"/>
  </cols>
  <sheetData>
    <row r="1" spans="1:21" x14ac:dyDescent="0.25">
      <c r="A1" s="627" t="s">
        <v>344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21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21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21" ht="25.5" customHeight="1" x14ac:dyDescent="0.25">
      <c r="A4" s="10">
        <v>44470</v>
      </c>
      <c r="B4" s="11">
        <v>2010625100</v>
      </c>
      <c r="C4" s="11" t="s">
        <v>0</v>
      </c>
      <c r="D4" s="31">
        <v>158021.10999999999</v>
      </c>
      <c r="E4" s="11" t="s">
        <v>115</v>
      </c>
      <c r="F4" s="11" t="s">
        <v>2</v>
      </c>
      <c r="G4" s="11" t="s">
        <v>3</v>
      </c>
      <c r="H4" s="11" t="s">
        <v>97</v>
      </c>
      <c r="I4" s="11" t="s">
        <v>122</v>
      </c>
      <c r="J4" s="11" t="s">
        <v>123</v>
      </c>
      <c r="K4" s="11" t="s">
        <v>124</v>
      </c>
      <c r="L4" s="11">
        <v>740</v>
      </c>
      <c r="M4" s="11">
        <v>38240</v>
      </c>
      <c r="N4" s="11" t="s">
        <v>8</v>
      </c>
      <c r="O4" s="637">
        <f>(D4+D5)*30.7/100</f>
        <v>54734.959389999996</v>
      </c>
      <c r="P4" s="636">
        <f>O4/(D4+D5)*100</f>
        <v>30.7</v>
      </c>
      <c r="Q4" s="649">
        <f>(D4+D5)/(L4+L5+L6)</f>
        <v>120.4660608108108</v>
      </c>
      <c r="R4" s="104"/>
      <c r="S4" s="401"/>
      <c r="T4" s="402"/>
      <c r="U4" s="403"/>
    </row>
    <row r="5" spans="1:21" ht="25.5" customHeight="1" x14ac:dyDescent="0.25">
      <c r="A5" s="10">
        <v>44470</v>
      </c>
      <c r="B5" s="11" t="s">
        <v>125</v>
      </c>
      <c r="C5" s="11" t="s">
        <v>0</v>
      </c>
      <c r="D5" s="31">
        <v>20268.66</v>
      </c>
      <c r="E5" s="11" t="s">
        <v>103</v>
      </c>
      <c r="F5" s="11" t="s">
        <v>2</v>
      </c>
      <c r="G5" s="11" t="s">
        <v>3</v>
      </c>
      <c r="H5" s="11" t="s">
        <v>97</v>
      </c>
      <c r="I5" s="11" t="s">
        <v>122</v>
      </c>
      <c r="J5" s="11" t="s">
        <v>123</v>
      </c>
      <c r="K5" s="11" t="s">
        <v>124</v>
      </c>
      <c r="L5" s="11">
        <v>0</v>
      </c>
      <c r="M5" s="11">
        <v>0</v>
      </c>
      <c r="N5" s="11" t="s">
        <v>8</v>
      </c>
      <c r="O5" s="650"/>
      <c r="P5" s="636"/>
      <c r="Q5" s="649"/>
      <c r="R5" s="104"/>
      <c r="S5" s="401"/>
      <c r="T5" s="402"/>
      <c r="U5" s="403"/>
    </row>
    <row r="6" spans="1:21" ht="25.5" customHeight="1" x14ac:dyDescent="0.25">
      <c r="A6" s="10">
        <v>44473</v>
      </c>
      <c r="B6" s="11">
        <v>2816840</v>
      </c>
      <c r="C6" s="11" t="s">
        <v>9</v>
      </c>
      <c r="D6" s="31">
        <v>0</v>
      </c>
      <c r="E6" s="11"/>
      <c r="F6" s="11" t="s">
        <v>3</v>
      </c>
      <c r="G6" s="11" t="s">
        <v>2</v>
      </c>
      <c r="H6" s="11" t="s">
        <v>97</v>
      </c>
      <c r="I6" s="11" t="s">
        <v>122</v>
      </c>
      <c r="J6" s="11" t="s">
        <v>123</v>
      </c>
      <c r="K6" s="11" t="s">
        <v>124</v>
      </c>
      <c r="L6" s="11">
        <v>740</v>
      </c>
      <c r="M6" s="11">
        <v>0</v>
      </c>
      <c r="N6" s="11" t="s">
        <v>10</v>
      </c>
      <c r="O6" s="638"/>
      <c r="P6" s="636"/>
      <c r="Q6" s="649"/>
      <c r="R6" s="403"/>
      <c r="S6" s="401"/>
      <c r="T6" s="402"/>
      <c r="U6" s="403"/>
    </row>
    <row r="7" spans="1:21" ht="25.5" customHeight="1" x14ac:dyDescent="0.25">
      <c r="A7" s="16">
        <v>44474</v>
      </c>
      <c r="B7" s="17">
        <v>2010642072</v>
      </c>
      <c r="C7" s="17" t="s">
        <v>0</v>
      </c>
      <c r="D7" s="34">
        <v>158021.10999999999</v>
      </c>
      <c r="E7" s="17" t="s">
        <v>115</v>
      </c>
      <c r="F7" s="17" t="s">
        <v>2</v>
      </c>
      <c r="G7" s="17" t="s">
        <v>3</v>
      </c>
      <c r="H7" s="17" t="s">
        <v>97</v>
      </c>
      <c r="I7" s="17" t="s">
        <v>122</v>
      </c>
      <c r="J7" s="17" t="s">
        <v>123</v>
      </c>
      <c r="K7" s="17" t="s">
        <v>124</v>
      </c>
      <c r="L7" s="17">
        <v>740</v>
      </c>
      <c r="M7" s="17">
        <v>38110</v>
      </c>
      <c r="N7" s="17" t="s">
        <v>8</v>
      </c>
      <c r="O7" s="644">
        <f>D7*30.7/100</f>
        <v>48512.480769999995</v>
      </c>
      <c r="P7" s="643">
        <f>O7/D7*100</f>
        <v>30.7</v>
      </c>
      <c r="Q7" s="653">
        <f>D7/(L7+L8)</f>
        <v>106.77102027027026</v>
      </c>
      <c r="R7" s="104"/>
      <c r="S7" s="401"/>
      <c r="T7" s="402"/>
      <c r="U7" s="403"/>
    </row>
    <row r="8" spans="1:21" ht="25.5" customHeight="1" x14ac:dyDescent="0.25">
      <c r="A8" s="16">
        <v>44476</v>
      </c>
      <c r="B8" s="17">
        <v>2816819</v>
      </c>
      <c r="C8" s="17" t="s">
        <v>9</v>
      </c>
      <c r="D8" s="34">
        <v>0</v>
      </c>
      <c r="E8" s="17"/>
      <c r="F8" s="17" t="s">
        <v>3</v>
      </c>
      <c r="G8" s="17" t="s">
        <v>2</v>
      </c>
      <c r="H8" s="17" t="s">
        <v>97</v>
      </c>
      <c r="I8" s="17" t="s">
        <v>122</v>
      </c>
      <c r="J8" s="17" t="s">
        <v>123</v>
      </c>
      <c r="K8" s="17" t="s">
        <v>124</v>
      </c>
      <c r="L8" s="17">
        <v>740</v>
      </c>
      <c r="M8" s="17">
        <v>0</v>
      </c>
      <c r="N8" s="17" t="s">
        <v>10</v>
      </c>
      <c r="O8" s="645"/>
      <c r="P8" s="643"/>
      <c r="Q8" s="653"/>
      <c r="R8" s="403"/>
      <c r="S8" s="401"/>
      <c r="T8" s="402"/>
      <c r="U8" s="403"/>
    </row>
    <row r="9" spans="1:21" ht="25.5" customHeight="1" x14ac:dyDescent="0.25">
      <c r="A9" s="12">
        <v>44478</v>
      </c>
      <c r="B9" s="13">
        <v>2010645804</v>
      </c>
      <c r="C9" s="13" t="s">
        <v>0</v>
      </c>
      <c r="D9" s="33">
        <v>158021.10999999999</v>
      </c>
      <c r="E9" s="13" t="s">
        <v>115</v>
      </c>
      <c r="F9" s="13" t="s">
        <v>2</v>
      </c>
      <c r="G9" s="13" t="s">
        <v>3</v>
      </c>
      <c r="H9" s="13" t="s">
        <v>97</v>
      </c>
      <c r="I9" s="13" t="s">
        <v>122</v>
      </c>
      <c r="J9" s="13" t="s">
        <v>123</v>
      </c>
      <c r="K9" s="13" t="s">
        <v>124</v>
      </c>
      <c r="L9" s="13">
        <v>740</v>
      </c>
      <c r="M9" s="13">
        <v>37780</v>
      </c>
      <c r="N9" s="13" t="s">
        <v>8</v>
      </c>
      <c r="O9" s="640">
        <f>D9*30.7/100</f>
        <v>48512.480769999995</v>
      </c>
      <c r="P9" s="639">
        <f>O9/D9*100</f>
        <v>30.7</v>
      </c>
      <c r="Q9" s="652">
        <f>D9/(L9+L10)</f>
        <v>106.77102027027026</v>
      </c>
      <c r="R9" s="104"/>
      <c r="S9" s="401"/>
      <c r="T9" s="402"/>
      <c r="U9" s="403"/>
    </row>
    <row r="10" spans="1:21" ht="25.5" customHeight="1" x14ac:dyDescent="0.25">
      <c r="A10" s="12">
        <v>44482</v>
      </c>
      <c r="B10" s="13">
        <v>2816799</v>
      </c>
      <c r="C10" s="13" t="s">
        <v>9</v>
      </c>
      <c r="D10" s="33">
        <v>0</v>
      </c>
      <c r="E10" s="13"/>
      <c r="F10" s="13" t="s">
        <v>3</v>
      </c>
      <c r="G10" s="13" t="s">
        <v>2</v>
      </c>
      <c r="H10" s="13" t="s">
        <v>97</v>
      </c>
      <c r="I10" s="13" t="s">
        <v>122</v>
      </c>
      <c r="J10" s="13" t="s">
        <v>123</v>
      </c>
      <c r="K10" s="13" t="s">
        <v>124</v>
      </c>
      <c r="L10" s="13">
        <v>740</v>
      </c>
      <c r="M10" s="13">
        <v>0</v>
      </c>
      <c r="N10" s="13" t="s">
        <v>10</v>
      </c>
      <c r="O10" s="642"/>
      <c r="P10" s="639"/>
      <c r="Q10" s="652"/>
      <c r="R10" s="403"/>
      <c r="S10" s="401"/>
      <c r="T10" s="402"/>
      <c r="U10" s="403"/>
    </row>
    <row r="11" spans="1:21" ht="25.5" customHeight="1" x14ac:dyDescent="0.25">
      <c r="A11" s="14">
        <v>44483</v>
      </c>
      <c r="B11" s="15">
        <v>2010663566</v>
      </c>
      <c r="C11" s="15" t="s">
        <v>0</v>
      </c>
      <c r="D11" s="35">
        <v>158021.10999999999</v>
      </c>
      <c r="E11" s="15" t="s">
        <v>115</v>
      </c>
      <c r="F11" s="15" t="s">
        <v>2</v>
      </c>
      <c r="G11" s="15" t="s">
        <v>3</v>
      </c>
      <c r="H11" s="15" t="s">
        <v>97</v>
      </c>
      <c r="I11" s="15" t="s">
        <v>122</v>
      </c>
      <c r="J11" s="15" t="s">
        <v>123</v>
      </c>
      <c r="K11" s="15" t="s">
        <v>124</v>
      </c>
      <c r="L11" s="15">
        <v>740</v>
      </c>
      <c r="M11" s="15">
        <v>38460</v>
      </c>
      <c r="N11" s="15" t="s">
        <v>8</v>
      </c>
      <c r="O11" s="647">
        <f>D11*30.7/100</f>
        <v>48512.480769999995</v>
      </c>
      <c r="P11" s="646">
        <f>O11/D11*100</f>
        <v>30.7</v>
      </c>
      <c r="Q11" s="651">
        <f>D11/(L11+L12)</f>
        <v>106.77102027027026</v>
      </c>
      <c r="R11" s="104"/>
      <c r="S11" s="395"/>
      <c r="T11" s="396"/>
      <c r="U11" s="397"/>
    </row>
    <row r="12" spans="1:21" ht="25.5" customHeight="1" x14ac:dyDescent="0.25">
      <c r="A12" s="14">
        <v>44485</v>
      </c>
      <c r="B12" s="15">
        <v>2816774</v>
      </c>
      <c r="C12" s="15" t="s">
        <v>9</v>
      </c>
      <c r="D12" s="35">
        <v>0</v>
      </c>
      <c r="E12" s="15"/>
      <c r="F12" s="15" t="s">
        <v>3</v>
      </c>
      <c r="G12" s="15" t="s">
        <v>2</v>
      </c>
      <c r="H12" s="15" t="s">
        <v>97</v>
      </c>
      <c r="I12" s="15" t="s">
        <v>122</v>
      </c>
      <c r="J12" s="15" t="s">
        <v>123</v>
      </c>
      <c r="K12" s="15" t="s">
        <v>124</v>
      </c>
      <c r="L12" s="15">
        <v>740</v>
      </c>
      <c r="M12" s="15">
        <v>0</v>
      </c>
      <c r="N12" s="15" t="s">
        <v>10</v>
      </c>
      <c r="O12" s="648"/>
      <c r="P12" s="646"/>
      <c r="Q12" s="651"/>
      <c r="R12" s="403"/>
      <c r="S12" s="404"/>
      <c r="T12" s="405"/>
      <c r="U12" s="406"/>
    </row>
    <row r="13" spans="1:21" ht="25.5" customHeight="1" x14ac:dyDescent="0.25">
      <c r="A13" s="10">
        <v>44486</v>
      </c>
      <c r="B13" s="11">
        <v>2010690409</v>
      </c>
      <c r="C13" s="11" t="s">
        <v>0</v>
      </c>
      <c r="D13" s="31">
        <v>158021.10999999999</v>
      </c>
      <c r="E13" s="11" t="s">
        <v>115</v>
      </c>
      <c r="F13" s="11" t="s">
        <v>2</v>
      </c>
      <c r="G13" s="11" t="s">
        <v>3</v>
      </c>
      <c r="H13" s="11" t="s">
        <v>97</v>
      </c>
      <c r="I13" s="11" t="s">
        <v>122</v>
      </c>
      <c r="J13" s="11" t="s">
        <v>123</v>
      </c>
      <c r="K13" s="11" t="s">
        <v>124</v>
      </c>
      <c r="L13" s="11">
        <v>740</v>
      </c>
      <c r="M13" s="11">
        <v>38290</v>
      </c>
      <c r="N13" s="11" t="s">
        <v>8</v>
      </c>
      <c r="O13" s="637">
        <f>D13*30.7/100</f>
        <v>48512.480769999995</v>
      </c>
      <c r="P13" s="636">
        <f>O13/D13*100</f>
        <v>30.7</v>
      </c>
      <c r="Q13" s="649">
        <f>D13/(L13+L14)</f>
        <v>106.77102027027026</v>
      </c>
      <c r="R13" s="104"/>
      <c r="S13" s="404"/>
      <c r="T13" s="405"/>
      <c r="U13" s="406"/>
    </row>
    <row r="14" spans="1:21" ht="25.5" customHeight="1" x14ac:dyDescent="0.25">
      <c r="A14" s="10">
        <v>44487</v>
      </c>
      <c r="B14" s="11">
        <v>2816771</v>
      </c>
      <c r="C14" s="11" t="s">
        <v>9</v>
      </c>
      <c r="D14" s="31">
        <v>0</v>
      </c>
      <c r="E14" s="11"/>
      <c r="F14" s="11" t="s">
        <v>3</v>
      </c>
      <c r="G14" s="11" t="s">
        <v>2</v>
      </c>
      <c r="H14" s="11" t="s">
        <v>97</v>
      </c>
      <c r="I14" s="11" t="s">
        <v>122</v>
      </c>
      <c r="J14" s="11" t="s">
        <v>123</v>
      </c>
      <c r="K14" s="11" t="s">
        <v>124</v>
      </c>
      <c r="L14" s="11">
        <v>740</v>
      </c>
      <c r="M14" s="11">
        <v>0</v>
      </c>
      <c r="N14" s="11" t="s">
        <v>10</v>
      </c>
      <c r="O14" s="638"/>
      <c r="P14" s="636"/>
      <c r="Q14" s="649"/>
      <c r="R14" s="403"/>
      <c r="S14" s="104"/>
      <c r="T14" s="104"/>
      <c r="U14" s="403"/>
    </row>
    <row r="15" spans="1:21" ht="25.5" customHeight="1" x14ac:dyDescent="0.25">
      <c r="A15" s="16">
        <v>44489</v>
      </c>
      <c r="B15" s="17">
        <v>2010708280</v>
      </c>
      <c r="C15" s="17" t="s">
        <v>0</v>
      </c>
      <c r="D15" s="34">
        <v>158021.10999999999</v>
      </c>
      <c r="E15" s="17" t="s">
        <v>115</v>
      </c>
      <c r="F15" s="17" t="s">
        <v>2</v>
      </c>
      <c r="G15" s="17" t="s">
        <v>3</v>
      </c>
      <c r="H15" s="17" t="s">
        <v>97</v>
      </c>
      <c r="I15" s="17" t="s">
        <v>98</v>
      </c>
      <c r="J15" s="17" t="s">
        <v>123</v>
      </c>
      <c r="K15" s="17" t="s">
        <v>124</v>
      </c>
      <c r="L15" s="17">
        <v>740</v>
      </c>
      <c r="M15" s="17">
        <v>38560</v>
      </c>
      <c r="N15" s="17" t="s">
        <v>8</v>
      </c>
      <c r="O15" s="644">
        <f>D15*30.7/100</f>
        <v>48512.480769999995</v>
      </c>
      <c r="P15" s="643">
        <f>O15/D15*100</f>
        <v>30.7</v>
      </c>
      <c r="Q15" s="628">
        <f>D15/(L15+L16)</f>
        <v>106.77102027027026</v>
      </c>
    </row>
    <row r="16" spans="1:21" ht="25.5" customHeight="1" x14ac:dyDescent="0.25">
      <c r="A16" s="16">
        <v>44490</v>
      </c>
      <c r="B16" s="17">
        <v>2816748</v>
      </c>
      <c r="C16" s="17" t="s">
        <v>9</v>
      </c>
      <c r="D16" s="34">
        <v>0</v>
      </c>
      <c r="E16" s="17"/>
      <c r="F16" s="17" t="s">
        <v>3</v>
      </c>
      <c r="G16" s="17" t="s">
        <v>2</v>
      </c>
      <c r="H16" s="17" t="s">
        <v>97</v>
      </c>
      <c r="I16" s="17" t="s">
        <v>98</v>
      </c>
      <c r="J16" s="17" t="s">
        <v>123</v>
      </c>
      <c r="K16" s="17" t="s">
        <v>124</v>
      </c>
      <c r="L16" s="17">
        <v>740</v>
      </c>
      <c r="M16" s="17">
        <v>0</v>
      </c>
      <c r="N16" s="17" t="s">
        <v>10</v>
      </c>
      <c r="O16" s="645"/>
      <c r="P16" s="643"/>
      <c r="Q16" s="628"/>
    </row>
    <row r="17" spans="1:17" ht="25.5" customHeight="1" x14ac:dyDescent="0.25">
      <c r="A17" s="12">
        <v>44492</v>
      </c>
      <c r="B17" s="13">
        <v>2010715416</v>
      </c>
      <c r="C17" s="13" t="s">
        <v>0</v>
      </c>
      <c r="D17" s="33">
        <v>158021.10999999999</v>
      </c>
      <c r="E17" s="13" t="s">
        <v>120</v>
      </c>
      <c r="F17" s="13" t="s">
        <v>2</v>
      </c>
      <c r="G17" s="13" t="s">
        <v>3</v>
      </c>
      <c r="H17" s="13" t="s">
        <v>97</v>
      </c>
      <c r="I17" s="13" t="s">
        <v>98</v>
      </c>
      <c r="J17" s="13" t="s">
        <v>123</v>
      </c>
      <c r="K17" s="13" t="s">
        <v>124</v>
      </c>
      <c r="L17" s="13">
        <v>740</v>
      </c>
      <c r="M17" s="13">
        <v>37940</v>
      </c>
      <c r="N17" s="13" t="s">
        <v>8</v>
      </c>
      <c r="O17" s="640">
        <f>D17*30.7/100</f>
        <v>48512.480769999995</v>
      </c>
      <c r="P17" s="639">
        <f>O17/D17*100</f>
        <v>30.7</v>
      </c>
      <c r="Q17" s="634">
        <f>D17/(L17+L18)</f>
        <v>106.77102027027026</v>
      </c>
    </row>
    <row r="18" spans="1:17" ht="25.5" customHeight="1" x14ac:dyDescent="0.25">
      <c r="A18" s="12">
        <v>44494</v>
      </c>
      <c r="B18" s="13">
        <v>2816723</v>
      </c>
      <c r="C18" s="13" t="s">
        <v>9</v>
      </c>
      <c r="D18" s="33">
        <v>0</v>
      </c>
      <c r="E18" s="13"/>
      <c r="F18" s="13" t="s">
        <v>3</v>
      </c>
      <c r="G18" s="13" t="s">
        <v>2</v>
      </c>
      <c r="H18" s="13" t="s">
        <v>97</v>
      </c>
      <c r="I18" s="13" t="s">
        <v>98</v>
      </c>
      <c r="J18" s="13" t="s">
        <v>123</v>
      </c>
      <c r="K18" s="13" t="s">
        <v>124</v>
      </c>
      <c r="L18" s="13">
        <v>740</v>
      </c>
      <c r="M18" s="13">
        <v>0</v>
      </c>
      <c r="N18" s="13" t="s">
        <v>10</v>
      </c>
      <c r="O18" s="642"/>
      <c r="P18" s="639"/>
      <c r="Q18" s="634"/>
    </row>
    <row r="19" spans="1:17" ht="25.5" customHeight="1" x14ac:dyDescent="0.25">
      <c r="A19" s="14">
        <v>44495</v>
      </c>
      <c r="B19" s="15">
        <v>2010715568</v>
      </c>
      <c r="C19" s="15" t="s">
        <v>0</v>
      </c>
      <c r="D19" s="35">
        <v>158021.10999999999</v>
      </c>
      <c r="E19" s="15" t="s">
        <v>120</v>
      </c>
      <c r="F19" s="15" t="s">
        <v>2</v>
      </c>
      <c r="G19" s="15" t="s">
        <v>3</v>
      </c>
      <c r="H19" s="15" t="s">
        <v>97</v>
      </c>
      <c r="I19" s="15" t="s">
        <v>122</v>
      </c>
      <c r="J19" s="15" t="s">
        <v>123</v>
      </c>
      <c r="K19" s="15" t="s">
        <v>124</v>
      </c>
      <c r="L19" s="15">
        <v>740</v>
      </c>
      <c r="M19" s="15">
        <v>37850</v>
      </c>
      <c r="N19" s="15" t="s">
        <v>8</v>
      </c>
      <c r="O19" s="647">
        <f>D19*30.7/100</f>
        <v>48512.480769999995</v>
      </c>
      <c r="P19" s="646">
        <f>O19/D19*100</f>
        <v>30.7</v>
      </c>
      <c r="Q19" s="632">
        <f>D19/(L19+L20)</f>
        <v>106.77102027027026</v>
      </c>
    </row>
    <row r="20" spans="1:17" ht="25.5" customHeight="1" x14ac:dyDescent="0.25">
      <c r="A20" s="14">
        <v>44496</v>
      </c>
      <c r="B20" s="15">
        <v>2816714</v>
      </c>
      <c r="C20" s="15" t="s">
        <v>9</v>
      </c>
      <c r="D20" s="35">
        <v>0</v>
      </c>
      <c r="E20" s="15"/>
      <c r="F20" s="15" t="s">
        <v>3</v>
      </c>
      <c r="G20" s="15" t="s">
        <v>2</v>
      </c>
      <c r="H20" s="15" t="s">
        <v>97</v>
      </c>
      <c r="I20" s="15" t="s">
        <v>122</v>
      </c>
      <c r="J20" s="15" t="s">
        <v>123</v>
      </c>
      <c r="K20" s="15" t="s">
        <v>124</v>
      </c>
      <c r="L20" s="15">
        <v>740</v>
      </c>
      <c r="M20" s="15">
        <v>0</v>
      </c>
      <c r="N20" s="15" t="s">
        <v>10</v>
      </c>
      <c r="O20" s="648"/>
      <c r="P20" s="646"/>
      <c r="Q20" s="632"/>
    </row>
    <row r="21" spans="1:17" ht="25.5" customHeight="1" x14ac:dyDescent="0.25">
      <c r="A21" s="10">
        <v>44499</v>
      </c>
      <c r="B21" s="11">
        <v>2010715480</v>
      </c>
      <c r="C21" s="11" t="s">
        <v>0</v>
      </c>
      <c r="D21" s="31">
        <v>158021.10999999999</v>
      </c>
      <c r="E21" s="11" t="s">
        <v>120</v>
      </c>
      <c r="F21" s="11" t="s">
        <v>2</v>
      </c>
      <c r="G21" s="11" t="s">
        <v>3</v>
      </c>
      <c r="H21" s="11" t="s">
        <v>97</v>
      </c>
      <c r="I21" s="11" t="s">
        <v>122</v>
      </c>
      <c r="J21" s="11" t="s">
        <v>123</v>
      </c>
      <c r="K21" s="11" t="s">
        <v>124</v>
      </c>
      <c r="L21" s="11">
        <v>740</v>
      </c>
      <c r="M21" s="11">
        <v>38210</v>
      </c>
      <c r="N21" s="11" t="s">
        <v>8</v>
      </c>
      <c r="O21" s="637">
        <f>D21*30.7/100</f>
        <v>48512.480769999995</v>
      </c>
      <c r="P21" s="636">
        <f>O21/D21*100</f>
        <v>30.7</v>
      </c>
      <c r="Q21" s="630">
        <f>D21/(L21+L22)</f>
        <v>106.77102027027026</v>
      </c>
    </row>
    <row r="22" spans="1:17" ht="25.5" customHeight="1" x14ac:dyDescent="0.25">
      <c r="A22" s="54">
        <v>44500</v>
      </c>
      <c r="B22" s="55">
        <v>2816694</v>
      </c>
      <c r="C22" s="55" t="s">
        <v>9</v>
      </c>
      <c r="D22" s="56">
        <v>0</v>
      </c>
      <c r="E22" s="55"/>
      <c r="F22" s="55" t="s">
        <v>3</v>
      </c>
      <c r="G22" s="55" t="s">
        <v>2</v>
      </c>
      <c r="H22" s="55" t="s">
        <v>97</v>
      </c>
      <c r="I22" s="55" t="s">
        <v>122</v>
      </c>
      <c r="J22" s="55" t="s">
        <v>123</v>
      </c>
      <c r="K22" s="55" t="s">
        <v>124</v>
      </c>
      <c r="L22" s="55">
        <v>740</v>
      </c>
      <c r="M22" s="55">
        <v>0</v>
      </c>
      <c r="N22" s="55" t="s">
        <v>10</v>
      </c>
      <c r="O22" s="638"/>
      <c r="P22" s="636"/>
      <c r="Q22" s="630"/>
    </row>
    <row r="23" spans="1:17" x14ac:dyDescent="0.25">
      <c r="A23" s="9"/>
      <c r="B23" s="9"/>
      <c r="C23" s="9"/>
      <c r="D23" s="18">
        <f>SUM(D4:D22)</f>
        <v>1442458.65</v>
      </c>
      <c r="E23" s="9"/>
      <c r="F23" s="9"/>
      <c r="G23" s="9"/>
      <c r="H23" s="9"/>
      <c r="I23" s="9"/>
      <c r="J23" s="9"/>
      <c r="K23" s="9"/>
      <c r="L23" s="9">
        <f>SUM(L4:L22)</f>
        <v>13320</v>
      </c>
      <c r="M23" s="9"/>
      <c r="N23" s="9"/>
      <c r="O23" s="24">
        <f>SUM(O4:O22)</f>
        <v>442834.80555000005</v>
      </c>
      <c r="P23" s="28">
        <f>O23/D23*100</f>
        <v>30.700000000000006</v>
      </c>
      <c r="Q23" s="26">
        <f>D23/L23</f>
        <v>108.29269144144143</v>
      </c>
    </row>
    <row r="25" spans="1:17" ht="15" customHeight="1" x14ac:dyDescent="0.25">
      <c r="A25" s="36" t="s">
        <v>322</v>
      </c>
      <c r="B25" s="36" t="s">
        <v>323</v>
      </c>
      <c r="C25" s="36" t="s">
        <v>324</v>
      </c>
      <c r="D25" s="36" t="s">
        <v>325</v>
      </c>
      <c r="F25" s="37" t="s">
        <v>326</v>
      </c>
      <c r="G25" s="37" t="s">
        <v>327</v>
      </c>
      <c r="H25" s="37" t="s">
        <v>328</v>
      </c>
      <c r="I25" s="38"/>
    </row>
    <row r="26" spans="1:17" x14ac:dyDescent="0.25">
      <c r="A26" s="39">
        <f>D23/L23</f>
        <v>108.29269144144143</v>
      </c>
      <c r="B26" s="40">
        <f>COMBUSTIBLE!C45</f>
        <v>4098.0172999999995</v>
      </c>
      <c r="C26" s="41">
        <f>B26/L23*100</f>
        <v>30.765895645645642</v>
      </c>
      <c r="D26" s="42">
        <f>B32/B26</f>
        <v>67.866448482651762</v>
      </c>
      <c r="F26" s="43">
        <f>+B32/D23</f>
        <v>0.19280821670102338</v>
      </c>
      <c r="G26" s="43">
        <f>B37/D23</f>
        <v>0.25888039569164095</v>
      </c>
      <c r="H26" s="44"/>
      <c r="I26" s="38"/>
    </row>
    <row r="27" spans="1:17" x14ac:dyDescent="0.25">
      <c r="F27" s="38"/>
      <c r="G27" s="38"/>
      <c r="H27" s="38"/>
      <c r="I27" s="38"/>
    </row>
    <row r="28" spans="1:17" x14ac:dyDescent="0.25">
      <c r="A28" s="36"/>
      <c r="B28" s="36" t="s">
        <v>329</v>
      </c>
      <c r="C28" s="36" t="s">
        <v>330</v>
      </c>
      <c r="D28" s="36" t="s">
        <v>124</v>
      </c>
      <c r="K28" s="25"/>
      <c r="L28" s="29"/>
      <c r="M28" s="25"/>
      <c r="O28" s="2"/>
      <c r="P28" s="2"/>
      <c r="Q28" s="2"/>
    </row>
    <row r="29" spans="1:17" x14ac:dyDescent="0.25">
      <c r="A29" s="7" t="s">
        <v>331</v>
      </c>
      <c r="B29" s="24">
        <f>D23</f>
        <v>1442458.65</v>
      </c>
      <c r="C29" s="45">
        <f>B30</f>
        <v>442834.80555000005</v>
      </c>
      <c r="D29" s="46">
        <f>C29/B29</f>
        <v>0.30700000000000005</v>
      </c>
      <c r="K29" s="25"/>
      <c r="L29" s="29"/>
      <c r="M29" s="25"/>
      <c r="O29" s="2"/>
      <c r="P29" s="2"/>
      <c r="Q29" s="2"/>
    </row>
    <row r="30" spans="1:17" x14ac:dyDescent="0.25">
      <c r="A30" s="47" t="s">
        <v>27</v>
      </c>
      <c r="B30" s="24">
        <f>O23</f>
        <v>442834.80555000005</v>
      </c>
      <c r="C30" s="9"/>
    </row>
    <row r="31" spans="1:17" x14ac:dyDescent="0.25">
      <c r="A31" s="48" t="s">
        <v>332</v>
      </c>
      <c r="B31" s="49">
        <f>(10*(78578.313+12454.55))/(150000+80000)*L23</f>
        <v>52719.901528695656</v>
      </c>
      <c r="C31" s="49">
        <f>(12*(78578.313+12454.55))/(150000+80000)*L23</f>
        <v>63263.881834434782</v>
      </c>
    </row>
    <row r="32" spans="1:17" x14ac:dyDescent="0.25">
      <c r="A32" s="48" t="s">
        <v>333</v>
      </c>
      <c r="B32" s="24">
        <f>COMBUSTIBLE!J45</f>
        <v>278117.87997146562</v>
      </c>
      <c r="C32" s="9"/>
    </row>
    <row r="33" spans="1:4" x14ac:dyDescent="0.25">
      <c r="A33" s="48" t="s">
        <v>334</v>
      </c>
      <c r="B33" s="24"/>
      <c r="C33" s="9"/>
    </row>
    <row r="34" spans="1:4" x14ac:dyDescent="0.25">
      <c r="A34" s="48" t="s">
        <v>335</v>
      </c>
      <c r="B34" s="24">
        <f>'PATENTE PROVINCIAL'!N12</f>
        <v>3048.8</v>
      </c>
      <c r="C34" s="42"/>
    </row>
    <row r="35" spans="1:4" x14ac:dyDescent="0.25">
      <c r="A35" s="48" t="s">
        <v>336</v>
      </c>
      <c r="B35" s="24">
        <f>'PATENTE MUNICIPAL'!I12</f>
        <v>4265.7333333333336</v>
      </c>
      <c r="C35" s="42"/>
    </row>
    <row r="36" spans="1:4" x14ac:dyDescent="0.25">
      <c r="A36" s="48" t="s">
        <v>337</v>
      </c>
      <c r="B36" s="24">
        <f>SEGURO!K12</f>
        <v>1179.6493921568626</v>
      </c>
      <c r="C36" s="42">
        <f>SEGURO!K23</f>
        <v>210.03783301707779</v>
      </c>
    </row>
    <row r="37" spans="1:4" x14ac:dyDescent="0.25">
      <c r="A37" s="48" t="s">
        <v>338</v>
      </c>
      <c r="B37" s="24">
        <f>L23*SUELDOS!U25</f>
        <v>373424.26608083019</v>
      </c>
      <c r="C37" s="42"/>
      <c r="D37" s="50">
        <f>B37/L23</f>
        <v>28.034854810873139</v>
      </c>
    </row>
    <row r="38" spans="1:4" x14ac:dyDescent="0.25">
      <c r="A38" s="48" t="s">
        <v>339</v>
      </c>
      <c r="B38" s="24">
        <f>'GASTOS TRACTOR'!H87</f>
        <v>43459.47395</v>
      </c>
      <c r="C38" s="42">
        <f>'GASTOS SEMI'!H39</f>
        <v>1441.02</v>
      </c>
    </row>
    <row r="39" spans="1:4" x14ac:dyDescent="0.25">
      <c r="A39" s="48" t="s">
        <v>340</v>
      </c>
      <c r="B39" s="24">
        <f>SUM(B31:B38)</f>
        <v>756215.70425648172</v>
      </c>
      <c r="C39" s="51">
        <f>SUM(C31:C38)</f>
        <v>64914.939667451858</v>
      </c>
    </row>
    <row r="40" spans="1:4" x14ac:dyDescent="0.25">
      <c r="A40" s="36" t="s">
        <v>341</v>
      </c>
      <c r="B40" s="52">
        <f>B29-B30-B39</f>
        <v>243408.14019351813</v>
      </c>
      <c r="C40" s="53">
        <f>C29-C30-C39</f>
        <v>377919.86588254821</v>
      </c>
      <c r="D40" s="52">
        <f>+B40+C40</f>
        <v>621328.00607606629</v>
      </c>
    </row>
  </sheetData>
  <sortState xmlns:xlrd2="http://schemas.microsoft.com/office/spreadsheetml/2017/richdata2" ref="A2:P21">
    <sortCondition ref="A1"/>
  </sortState>
  <mergeCells count="28">
    <mergeCell ref="A1:Q2"/>
    <mergeCell ref="Q4:Q6"/>
    <mergeCell ref="P4:P6"/>
    <mergeCell ref="O4:O6"/>
    <mergeCell ref="Q21:Q22"/>
    <mergeCell ref="P21:P22"/>
    <mergeCell ref="Q11:Q12"/>
    <mergeCell ref="O21:O22"/>
    <mergeCell ref="P11:P12"/>
    <mergeCell ref="O11:O12"/>
    <mergeCell ref="Q9:Q10"/>
    <mergeCell ref="P9:P10"/>
    <mergeCell ref="O9:O10"/>
    <mergeCell ref="Q7:Q8"/>
    <mergeCell ref="P7:P8"/>
    <mergeCell ref="O7:O8"/>
    <mergeCell ref="Q15:Q16"/>
    <mergeCell ref="P15:P16"/>
    <mergeCell ref="O15:O16"/>
    <mergeCell ref="Q13:Q14"/>
    <mergeCell ref="P13:P14"/>
    <mergeCell ref="O13:O14"/>
    <mergeCell ref="Q19:Q20"/>
    <mergeCell ref="P19:P20"/>
    <mergeCell ref="O19:O20"/>
    <mergeCell ref="Q17:Q18"/>
    <mergeCell ref="P17:P18"/>
    <mergeCell ref="O17:O18"/>
  </mergeCells>
  <conditionalFormatting sqref="C26">
    <cfRule type="cellIs" dxfId="90" priority="1" operator="lessThan">
      <formula>29</formula>
    </cfRule>
    <cfRule type="cellIs" dxfId="89" priority="2" operator="greaterThan">
      <formula>38</formula>
    </cfRule>
    <cfRule type="cellIs" dxfId="88" priority="3" operator="lessThan">
      <formula>38</formula>
    </cfRule>
    <cfRule type="cellIs" dxfId="87" priority="4" operator="lessThan">
      <formula>38</formula>
    </cfRule>
    <cfRule type="cellIs" dxfId="86" priority="5" operator="greaterThan">
      <formula>40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Q42"/>
  <sheetViews>
    <sheetView topLeftCell="A26" zoomScaleNormal="100" workbookViewId="0">
      <selection activeCell="C46" sqref="C46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38.140625" style="2" bestFit="1" customWidth="1"/>
    <col min="8" max="8" width="20.140625" style="2" bestFit="1" customWidth="1"/>
    <col min="9" max="9" width="24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7" t="s">
        <v>345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2010625017</v>
      </c>
      <c r="C4" s="11" t="s">
        <v>0</v>
      </c>
      <c r="D4" s="31">
        <v>143875.16</v>
      </c>
      <c r="E4" s="11" t="s">
        <v>107</v>
      </c>
      <c r="F4" s="11" t="s">
        <v>2</v>
      </c>
      <c r="G4" s="11" t="s">
        <v>3</v>
      </c>
      <c r="H4" s="11" t="s">
        <v>97</v>
      </c>
      <c r="I4" s="11" t="s">
        <v>140</v>
      </c>
      <c r="J4" s="11" t="s">
        <v>141</v>
      </c>
      <c r="K4" s="11" t="s">
        <v>142</v>
      </c>
      <c r="L4" s="11">
        <v>740</v>
      </c>
      <c r="M4" s="11">
        <v>35040</v>
      </c>
      <c r="N4" s="11" t="s">
        <v>8</v>
      </c>
      <c r="O4" s="637">
        <v>50392.15</v>
      </c>
      <c r="P4" s="631">
        <f>O4/(D4+D5)*100</f>
        <v>30.699998330732157</v>
      </c>
      <c r="Q4" s="630">
        <f>(D4+D5)/(L4+L5+L6)</f>
        <v>110.90798648648649</v>
      </c>
    </row>
    <row r="5" spans="1:17" ht="25.5" customHeight="1" x14ac:dyDescent="0.25">
      <c r="A5" s="10">
        <v>44470</v>
      </c>
      <c r="B5" s="11" t="s">
        <v>143</v>
      </c>
      <c r="C5" s="11" t="s">
        <v>0</v>
      </c>
      <c r="D5" s="31">
        <v>20268.66</v>
      </c>
      <c r="E5" s="11" t="s">
        <v>103</v>
      </c>
      <c r="F5" s="11" t="s">
        <v>2</v>
      </c>
      <c r="G5" s="11" t="s">
        <v>3</v>
      </c>
      <c r="H5" s="11" t="s">
        <v>97</v>
      </c>
      <c r="I5" s="11" t="s">
        <v>140</v>
      </c>
      <c r="J5" s="11" t="s">
        <v>141</v>
      </c>
      <c r="K5" s="11" t="s">
        <v>142</v>
      </c>
      <c r="L5" s="11">
        <v>0</v>
      </c>
      <c r="M5" s="11">
        <v>0</v>
      </c>
      <c r="N5" s="11" t="s">
        <v>8</v>
      </c>
      <c r="O5" s="650"/>
      <c r="P5" s="631"/>
      <c r="Q5" s="630"/>
    </row>
    <row r="6" spans="1:17" ht="25.5" customHeight="1" x14ac:dyDescent="0.25">
      <c r="A6" s="10">
        <v>44473</v>
      </c>
      <c r="B6" s="11">
        <v>2816843</v>
      </c>
      <c r="C6" s="11" t="s">
        <v>9</v>
      </c>
      <c r="D6" s="31">
        <v>0</v>
      </c>
      <c r="E6" s="11"/>
      <c r="F6" s="11" t="s">
        <v>3</v>
      </c>
      <c r="G6" s="11" t="s">
        <v>2</v>
      </c>
      <c r="H6" s="11" t="s">
        <v>97</v>
      </c>
      <c r="I6" s="11" t="s">
        <v>140</v>
      </c>
      <c r="J6" s="11" t="s">
        <v>141</v>
      </c>
      <c r="K6" s="11" t="s">
        <v>142</v>
      </c>
      <c r="L6" s="11">
        <v>740</v>
      </c>
      <c r="M6" s="11">
        <v>0</v>
      </c>
      <c r="N6" s="11" t="s">
        <v>10</v>
      </c>
      <c r="O6" s="638"/>
      <c r="P6" s="631"/>
      <c r="Q6" s="630"/>
    </row>
    <row r="7" spans="1:17" ht="25.5" customHeight="1" x14ac:dyDescent="0.25">
      <c r="A7" s="16">
        <v>44474</v>
      </c>
      <c r="B7" s="17">
        <v>2010642040</v>
      </c>
      <c r="C7" s="17" t="s">
        <v>0</v>
      </c>
      <c r="D7" s="34">
        <v>143875.16</v>
      </c>
      <c r="E7" s="17" t="s">
        <v>107</v>
      </c>
      <c r="F7" s="17" t="s">
        <v>2</v>
      </c>
      <c r="G7" s="17" t="s">
        <v>3</v>
      </c>
      <c r="H7" s="17" t="s">
        <v>97</v>
      </c>
      <c r="I7" s="17" t="s">
        <v>140</v>
      </c>
      <c r="J7" s="17" t="s">
        <v>141</v>
      </c>
      <c r="K7" s="17" t="s">
        <v>142</v>
      </c>
      <c r="L7" s="17">
        <v>740</v>
      </c>
      <c r="M7" s="17">
        <v>35050</v>
      </c>
      <c r="N7" s="17" t="s">
        <v>8</v>
      </c>
      <c r="O7" s="644">
        <v>44169.674120000003</v>
      </c>
      <c r="P7" s="629">
        <f>O7/D7*100</f>
        <v>30.7</v>
      </c>
      <c r="Q7" s="628">
        <f>D7/(L7+L8)</f>
        <v>97.212945945945947</v>
      </c>
    </row>
    <row r="8" spans="1:17" ht="25.5" customHeight="1" x14ac:dyDescent="0.25">
      <c r="A8" s="16">
        <v>44476</v>
      </c>
      <c r="B8" s="17">
        <v>2816822</v>
      </c>
      <c r="C8" s="17" t="s">
        <v>9</v>
      </c>
      <c r="D8" s="34">
        <v>0</v>
      </c>
      <c r="E8" s="17"/>
      <c r="F8" s="17" t="s">
        <v>3</v>
      </c>
      <c r="G8" s="17" t="s">
        <v>2</v>
      </c>
      <c r="H8" s="17" t="s">
        <v>97</v>
      </c>
      <c r="I8" s="17" t="s">
        <v>140</v>
      </c>
      <c r="J8" s="17" t="s">
        <v>141</v>
      </c>
      <c r="K8" s="17" t="s">
        <v>142</v>
      </c>
      <c r="L8" s="17">
        <v>740</v>
      </c>
      <c r="M8" s="17">
        <v>0</v>
      </c>
      <c r="N8" s="17" t="s">
        <v>10</v>
      </c>
      <c r="O8" s="645"/>
      <c r="P8" s="629"/>
      <c r="Q8" s="628"/>
    </row>
    <row r="9" spans="1:17" ht="25.5" customHeight="1" x14ac:dyDescent="0.25">
      <c r="A9" s="12">
        <v>44477</v>
      </c>
      <c r="B9" s="13">
        <v>2010647341</v>
      </c>
      <c r="C9" s="13" t="s">
        <v>0</v>
      </c>
      <c r="D9" s="33">
        <v>120413.48</v>
      </c>
      <c r="E9" s="13" t="s">
        <v>108</v>
      </c>
      <c r="F9" s="13" t="s">
        <v>2</v>
      </c>
      <c r="G9" s="13" t="s">
        <v>109</v>
      </c>
      <c r="H9" s="13" t="s">
        <v>97</v>
      </c>
      <c r="I9" s="13" t="s">
        <v>140</v>
      </c>
      <c r="J9" s="13" t="s">
        <v>141</v>
      </c>
      <c r="K9" s="13" t="s">
        <v>142</v>
      </c>
      <c r="L9" s="13">
        <v>606</v>
      </c>
      <c r="M9" s="13">
        <v>34920</v>
      </c>
      <c r="N9" s="13" t="s">
        <v>110</v>
      </c>
      <c r="O9" s="640">
        <v>36966.93836</v>
      </c>
      <c r="P9" s="635">
        <f>O9/D9*100</f>
        <v>30.7</v>
      </c>
      <c r="Q9" s="634">
        <f>D9/(L9+L10)</f>
        <v>99.351056105610553</v>
      </c>
    </row>
    <row r="10" spans="1:17" ht="25.5" customHeight="1" x14ac:dyDescent="0.25">
      <c r="A10" s="12">
        <v>44478</v>
      </c>
      <c r="B10" s="13">
        <v>2816809</v>
      </c>
      <c r="C10" s="13" t="s">
        <v>9</v>
      </c>
      <c r="D10" s="33">
        <v>0</v>
      </c>
      <c r="E10" s="13"/>
      <c r="F10" s="13" t="s">
        <v>109</v>
      </c>
      <c r="G10" s="13" t="s">
        <v>2</v>
      </c>
      <c r="H10" s="13" t="s">
        <v>97</v>
      </c>
      <c r="I10" s="13" t="s">
        <v>140</v>
      </c>
      <c r="J10" s="13" t="s">
        <v>141</v>
      </c>
      <c r="K10" s="13" t="s">
        <v>142</v>
      </c>
      <c r="L10" s="13">
        <v>606</v>
      </c>
      <c r="M10" s="13">
        <v>0</v>
      </c>
      <c r="N10" s="13" t="s">
        <v>10</v>
      </c>
      <c r="O10" s="642"/>
      <c r="P10" s="635"/>
      <c r="Q10" s="634"/>
    </row>
    <row r="11" spans="1:17" ht="25.5" customHeight="1" x14ac:dyDescent="0.25">
      <c r="A11" s="14">
        <v>44479</v>
      </c>
      <c r="B11" s="15">
        <v>2010663565</v>
      </c>
      <c r="C11" s="15" t="s">
        <v>0</v>
      </c>
      <c r="D11" s="35">
        <v>143875.16</v>
      </c>
      <c r="E11" s="15" t="s">
        <v>107</v>
      </c>
      <c r="F11" s="15" t="s">
        <v>2</v>
      </c>
      <c r="G11" s="15" t="s">
        <v>3</v>
      </c>
      <c r="H11" s="15" t="s">
        <v>97</v>
      </c>
      <c r="I11" s="15" t="s">
        <v>140</v>
      </c>
      <c r="J11" s="15" t="s">
        <v>141</v>
      </c>
      <c r="K11" s="15" t="s">
        <v>142</v>
      </c>
      <c r="L11" s="15">
        <v>740</v>
      </c>
      <c r="M11" s="15">
        <v>35030</v>
      </c>
      <c r="N11" s="15" t="s">
        <v>8</v>
      </c>
      <c r="O11" s="647">
        <v>44169.674120000003</v>
      </c>
      <c r="P11" s="633">
        <f>O11/D11*100</f>
        <v>30.7</v>
      </c>
      <c r="Q11" s="632">
        <f>D11/(L11+L12)</f>
        <v>97.212945945945947</v>
      </c>
    </row>
    <row r="12" spans="1:17" ht="25.5" customHeight="1" x14ac:dyDescent="0.25">
      <c r="A12" s="14">
        <v>44481</v>
      </c>
      <c r="B12" s="15">
        <v>2816802</v>
      </c>
      <c r="C12" s="15" t="s">
        <v>9</v>
      </c>
      <c r="D12" s="35">
        <v>0</v>
      </c>
      <c r="E12" s="15"/>
      <c r="F12" s="15" t="s">
        <v>3</v>
      </c>
      <c r="G12" s="15" t="s">
        <v>2</v>
      </c>
      <c r="H12" s="15" t="s">
        <v>97</v>
      </c>
      <c r="I12" s="15" t="s">
        <v>140</v>
      </c>
      <c r="J12" s="15" t="s">
        <v>141</v>
      </c>
      <c r="K12" s="15" t="s">
        <v>142</v>
      </c>
      <c r="L12" s="15">
        <v>740</v>
      </c>
      <c r="M12" s="15">
        <v>0</v>
      </c>
      <c r="N12" s="15" t="s">
        <v>10</v>
      </c>
      <c r="O12" s="648"/>
      <c r="P12" s="633"/>
      <c r="Q12" s="632"/>
    </row>
    <row r="13" spans="1:17" ht="25.5" customHeight="1" x14ac:dyDescent="0.25">
      <c r="A13" s="10">
        <v>44482</v>
      </c>
      <c r="B13" s="11">
        <v>2010681668</v>
      </c>
      <c r="C13" s="11" t="s">
        <v>0</v>
      </c>
      <c r="D13" s="31">
        <v>120413.48</v>
      </c>
      <c r="E13" s="11" t="s">
        <v>108</v>
      </c>
      <c r="F13" s="11" t="s">
        <v>2</v>
      </c>
      <c r="G13" s="11" t="s">
        <v>109</v>
      </c>
      <c r="H13" s="11" t="s">
        <v>97</v>
      </c>
      <c r="I13" s="11" t="s">
        <v>140</v>
      </c>
      <c r="J13" s="11" t="s">
        <v>141</v>
      </c>
      <c r="K13" s="11" t="s">
        <v>142</v>
      </c>
      <c r="L13" s="11">
        <v>606</v>
      </c>
      <c r="M13" s="11">
        <v>34850</v>
      </c>
      <c r="N13" s="11" t="s">
        <v>110</v>
      </c>
      <c r="O13" s="637">
        <v>36966.93836</v>
      </c>
      <c r="P13" s="631">
        <f>O13/D13*100</f>
        <v>30.7</v>
      </c>
      <c r="Q13" s="630">
        <f>D13/(L13+L14)</f>
        <v>99.351056105610553</v>
      </c>
    </row>
    <row r="14" spans="1:17" ht="25.5" customHeight="1" x14ac:dyDescent="0.25">
      <c r="A14" s="10">
        <v>44483</v>
      </c>
      <c r="B14" s="11">
        <v>2816791</v>
      </c>
      <c r="C14" s="11" t="s">
        <v>9</v>
      </c>
      <c r="D14" s="31">
        <v>0</v>
      </c>
      <c r="E14" s="11"/>
      <c r="F14" s="11" t="s">
        <v>109</v>
      </c>
      <c r="G14" s="11" t="s">
        <v>2</v>
      </c>
      <c r="H14" s="11" t="s">
        <v>97</v>
      </c>
      <c r="I14" s="11" t="s">
        <v>140</v>
      </c>
      <c r="J14" s="11" t="s">
        <v>141</v>
      </c>
      <c r="K14" s="11" t="s">
        <v>142</v>
      </c>
      <c r="L14" s="11">
        <v>606</v>
      </c>
      <c r="M14" s="11">
        <v>0</v>
      </c>
      <c r="N14" s="11" t="s">
        <v>10</v>
      </c>
      <c r="O14" s="638"/>
      <c r="P14" s="631"/>
      <c r="Q14" s="630"/>
    </row>
    <row r="15" spans="1:17" ht="25.5" customHeight="1" x14ac:dyDescent="0.25">
      <c r="A15" s="16">
        <v>44485</v>
      </c>
      <c r="B15" s="17">
        <v>2010656250</v>
      </c>
      <c r="C15" s="17" t="s">
        <v>0</v>
      </c>
      <c r="D15" s="34">
        <v>120413.48</v>
      </c>
      <c r="E15" s="17" t="s">
        <v>108</v>
      </c>
      <c r="F15" s="17" t="s">
        <v>2</v>
      </c>
      <c r="G15" s="17" t="s">
        <v>109</v>
      </c>
      <c r="H15" s="17" t="s">
        <v>97</v>
      </c>
      <c r="I15" s="17" t="s">
        <v>140</v>
      </c>
      <c r="J15" s="17" t="s">
        <v>141</v>
      </c>
      <c r="K15" s="17" t="s">
        <v>142</v>
      </c>
      <c r="L15" s="17">
        <v>606</v>
      </c>
      <c r="M15" s="17">
        <v>34210</v>
      </c>
      <c r="N15" s="17" t="s">
        <v>110</v>
      </c>
      <c r="O15" s="644">
        <v>36966.93836</v>
      </c>
      <c r="P15" s="629">
        <f>O15/D15*100</f>
        <v>30.7</v>
      </c>
      <c r="Q15" s="628">
        <f>D15/(L15+L16)</f>
        <v>99.351056105610553</v>
      </c>
    </row>
    <row r="16" spans="1:17" ht="25.5" customHeight="1" x14ac:dyDescent="0.25">
      <c r="A16" s="16">
        <v>44487</v>
      </c>
      <c r="B16" s="17">
        <v>2816766</v>
      </c>
      <c r="C16" s="17" t="s">
        <v>9</v>
      </c>
      <c r="D16" s="34">
        <v>0</v>
      </c>
      <c r="E16" s="17"/>
      <c r="F16" s="17" t="s">
        <v>109</v>
      </c>
      <c r="G16" s="17" t="s">
        <v>2</v>
      </c>
      <c r="H16" s="17" t="s">
        <v>97</v>
      </c>
      <c r="I16" s="17" t="s">
        <v>140</v>
      </c>
      <c r="J16" s="17" t="s">
        <v>141</v>
      </c>
      <c r="K16" s="17" t="s">
        <v>142</v>
      </c>
      <c r="L16" s="17">
        <v>606</v>
      </c>
      <c r="M16" s="17">
        <v>0</v>
      </c>
      <c r="N16" s="17" t="s">
        <v>10</v>
      </c>
      <c r="O16" s="645"/>
      <c r="P16" s="629"/>
      <c r="Q16" s="628"/>
    </row>
    <row r="17" spans="1:17" ht="25.5" customHeight="1" x14ac:dyDescent="0.25">
      <c r="A17" s="12">
        <v>44489</v>
      </c>
      <c r="B17" s="13">
        <v>2010694206</v>
      </c>
      <c r="C17" s="13" t="s">
        <v>0</v>
      </c>
      <c r="D17" s="33">
        <v>120413.48</v>
      </c>
      <c r="E17" s="13" t="s">
        <v>108</v>
      </c>
      <c r="F17" s="13" t="s">
        <v>2</v>
      </c>
      <c r="G17" s="13" t="s">
        <v>109</v>
      </c>
      <c r="H17" s="13" t="s">
        <v>97</v>
      </c>
      <c r="I17" s="13" t="s">
        <v>140</v>
      </c>
      <c r="J17" s="13" t="s">
        <v>141</v>
      </c>
      <c r="K17" s="13" t="s">
        <v>142</v>
      </c>
      <c r="L17" s="13">
        <v>606</v>
      </c>
      <c r="M17" s="13">
        <v>35010</v>
      </c>
      <c r="N17" s="13" t="s">
        <v>110</v>
      </c>
      <c r="O17" s="640">
        <v>43189.42</v>
      </c>
      <c r="P17" s="635">
        <f>O17/(D17+D18)*100</f>
        <v>30.700002146683296</v>
      </c>
      <c r="Q17" s="634">
        <f>(D17+D18)/(L17+L18+L19)</f>
        <v>116.07437293729372</v>
      </c>
    </row>
    <row r="18" spans="1:17" ht="25.5" customHeight="1" x14ac:dyDescent="0.25">
      <c r="A18" s="12">
        <v>44489</v>
      </c>
      <c r="B18" s="13" t="s">
        <v>144</v>
      </c>
      <c r="C18" s="13" t="s">
        <v>0</v>
      </c>
      <c r="D18" s="33">
        <v>20268.66</v>
      </c>
      <c r="E18" s="13" t="s">
        <v>103</v>
      </c>
      <c r="F18" s="13" t="s">
        <v>2</v>
      </c>
      <c r="G18" s="13" t="s">
        <v>109</v>
      </c>
      <c r="H18" s="13" t="s">
        <v>97</v>
      </c>
      <c r="I18" s="13" t="s">
        <v>140</v>
      </c>
      <c r="J18" s="13" t="s">
        <v>141</v>
      </c>
      <c r="K18" s="13" t="s">
        <v>142</v>
      </c>
      <c r="L18" s="13">
        <v>0</v>
      </c>
      <c r="M18" s="13">
        <v>0</v>
      </c>
      <c r="N18" s="13" t="s">
        <v>110</v>
      </c>
      <c r="O18" s="641"/>
      <c r="P18" s="635"/>
      <c r="Q18" s="634"/>
    </row>
    <row r="19" spans="1:17" ht="25.5" customHeight="1" x14ac:dyDescent="0.25">
      <c r="A19" s="12">
        <v>44493</v>
      </c>
      <c r="B19" s="13">
        <v>2816732</v>
      </c>
      <c r="C19" s="13" t="s">
        <v>9</v>
      </c>
      <c r="D19" s="33">
        <v>0</v>
      </c>
      <c r="E19" s="13"/>
      <c r="F19" s="13" t="s">
        <v>109</v>
      </c>
      <c r="G19" s="13" t="s">
        <v>2</v>
      </c>
      <c r="H19" s="13" t="s">
        <v>97</v>
      </c>
      <c r="I19" s="13" t="s">
        <v>140</v>
      </c>
      <c r="J19" s="13" t="s">
        <v>141</v>
      </c>
      <c r="K19" s="13" t="s">
        <v>142</v>
      </c>
      <c r="L19" s="13">
        <v>606</v>
      </c>
      <c r="M19" s="13">
        <v>0</v>
      </c>
      <c r="N19" s="13" t="s">
        <v>10</v>
      </c>
      <c r="O19" s="642"/>
      <c r="P19" s="635"/>
      <c r="Q19" s="634"/>
    </row>
    <row r="20" spans="1:17" ht="25.5" customHeight="1" x14ac:dyDescent="0.25">
      <c r="A20" s="14">
        <v>44493</v>
      </c>
      <c r="B20" s="15">
        <v>2010715564</v>
      </c>
      <c r="C20" s="15" t="s">
        <v>0</v>
      </c>
      <c r="D20" s="35">
        <v>143875.16</v>
      </c>
      <c r="E20" s="15" t="s">
        <v>114</v>
      </c>
      <c r="F20" s="15" t="s">
        <v>2</v>
      </c>
      <c r="G20" s="15" t="s">
        <v>3</v>
      </c>
      <c r="H20" s="15" t="s">
        <v>97</v>
      </c>
      <c r="I20" s="15" t="s">
        <v>140</v>
      </c>
      <c r="J20" s="15" t="s">
        <v>141</v>
      </c>
      <c r="K20" s="15" t="s">
        <v>142</v>
      </c>
      <c r="L20" s="15">
        <v>740</v>
      </c>
      <c r="M20" s="15">
        <v>35030</v>
      </c>
      <c r="N20" s="15" t="s">
        <v>8</v>
      </c>
      <c r="O20" s="647">
        <v>44169.674120000003</v>
      </c>
      <c r="P20" s="633">
        <f>O20/D20*100</f>
        <v>30.7</v>
      </c>
      <c r="Q20" s="632">
        <f>D20/(L20+L21)</f>
        <v>97.212945945945947</v>
      </c>
    </row>
    <row r="21" spans="1:17" ht="25.5" customHeight="1" x14ac:dyDescent="0.25">
      <c r="A21" s="14">
        <v>44495</v>
      </c>
      <c r="B21" s="15">
        <v>2816718</v>
      </c>
      <c r="C21" s="15" t="s">
        <v>9</v>
      </c>
      <c r="D21" s="35">
        <v>0</v>
      </c>
      <c r="E21" s="15"/>
      <c r="F21" s="15" t="s">
        <v>3</v>
      </c>
      <c r="G21" s="15" t="s">
        <v>2</v>
      </c>
      <c r="H21" s="15" t="s">
        <v>97</v>
      </c>
      <c r="I21" s="15" t="s">
        <v>140</v>
      </c>
      <c r="J21" s="15" t="s">
        <v>141</v>
      </c>
      <c r="K21" s="15" t="s">
        <v>142</v>
      </c>
      <c r="L21" s="15">
        <v>740</v>
      </c>
      <c r="M21" s="15">
        <v>0</v>
      </c>
      <c r="N21" s="15" t="s">
        <v>10</v>
      </c>
      <c r="O21" s="648"/>
      <c r="P21" s="633"/>
      <c r="Q21" s="632"/>
    </row>
    <row r="22" spans="1:17" ht="25.5" customHeight="1" x14ac:dyDescent="0.25">
      <c r="A22" s="10">
        <v>44496</v>
      </c>
      <c r="B22" s="11">
        <v>2010715474</v>
      </c>
      <c r="C22" s="11" t="s">
        <v>0</v>
      </c>
      <c r="D22" s="31">
        <v>143875.16</v>
      </c>
      <c r="E22" s="11" t="s">
        <v>114</v>
      </c>
      <c r="F22" s="11" t="s">
        <v>2</v>
      </c>
      <c r="G22" s="11" t="s">
        <v>3</v>
      </c>
      <c r="H22" s="11" t="s">
        <v>97</v>
      </c>
      <c r="I22" s="11" t="s">
        <v>140</v>
      </c>
      <c r="J22" s="11" t="s">
        <v>141</v>
      </c>
      <c r="K22" s="11" t="s">
        <v>142</v>
      </c>
      <c r="L22" s="11">
        <v>740</v>
      </c>
      <c r="M22" s="11">
        <v>34740</v>
      </c>
      <c r="N22" s="11" t="s">
        <v>8</v>
      </c>
      <c r="O22" s="637">
        <v>44169.674120000003</v>
      </c>
      <c r="P22" s="631">
        <f>O22/D22*100</f>
        <v>30.7</v>
      </c>
      <c r="Q22" s="630">
        <f>D22/(L22+L23)</f>
        <v>97.212945945945947</v>
      </c>
    </row>
    <row r="23" spans="1:17" ht="25.5" customHeight="1" x14ac:dyDescent="0.25">
      <c r="A23" s="10">
        <v>44497</v>
      </c>
      <c r="B23" s="11">
        <v>2816706</v>
      </c>
      <c r="C23" s="11" t="s">
        <v>9</v>
      </c>
      <c r="D23" s="31">
        <v>0</v>
      </c>
      <c r="E23" s="11"/>
      <c r="F23" s="11" t="s">
        <v>3</v>
      </c>
      <c r="G23" s="11" t="s">
        <v>2</v>
      </c>
      <c r="H23" s="11" t="s">
        <v>97</v>
      </c>
      <c r="I23" s="11" t="s">
        <v>140</v>
      </c>
      <c r="J23" s="11" t="s">
        <v>141</v>
      </c>
      <c r="K23" s="11" t="s">
        <v>142</v>
      </c>
      <c r="L23" s="11">
        <v>740</v>
      </c>
      <c r="M23" s="11">
        <v>0</v>
      </c>
      <c r="N23" s="11" t="s">
        <v>10</v>
      </c>
      <c r="O23" s="638"/>
      <c r="P23" s="631"/>
      <c r="Q23" s="630"/>
    </row>
    <row r="24" spans="1:17" ht="25.5" customHeight="1" x14ac:dyDescent="0.25">
      <c r="A24" s="6">
        <v>44500</v>
      </c>
      <c r="B24" s="7">
        <v>2010715469</v>
      </c>
      <c r="C24" s="7" t="s">
        <v>0</v>
      </c>
      <c r="D24" s="8">
        <v>143875.16</v>
      </c>
      <c r="E24" s="7" t="s">
        <v>114</v>
      </c>
      <c r="F24" s="7" t="s">
        <v>2</v>
      </c>
      <c r="G24" s="7" t="s">
        <v>3</v>
      </c>
      <c r="H24" s="7" t="s">
        <v>97</v>
      </c>
      <c r="I24" s="7" t="s">
        <v>140</v>
      </c>
      <c r="J24" s="7" t="s">
        <v>141</v>
      </c>
      <c r="K24" s="7" t="s">
        <v>142</v>
      </c>
      <c r="L24" s="7">
        <v>740</v>
      </c>
      <c r="M24" s="7">
        <v>34950</v>
      </c>
      <c r="N24" s="7" t="s">
        <v>8</v>
      </c>
      <c r="O24" s="8">
        <v>44169.674120000003</v>
      </c>
      <c r="P24" s="64">
        <f>O24/D24*100</f>
        <v>30.7</v>
      </c>
      <c r="Q24" s="24">
        <f>D24/L24</f>
        <v>194.42589189189189</v>
      </c>
    </row>
    <row r="25" spans="1:17" x14ac:dyDescent="0.25">
      <c r="A25" s="9"/>
      <c r="B25" s="9"/>
      <c r="C25" s="9"/>
      <c r="D25" s="18">
        <f>SUM(D4:D24)</f>
        <v>1385442.1999999997</v>
      </c>
      <c r="E25" s="9"/>
      <c r="F25" s="9"/>
      <c r="G25" s="9"/>
      <c r="H25" s="9"/>
      <c r="I25" s="9"/>
      <c r="J25" s="9"/>
      <c r="K25" s="9"/>
      <c r="L25" s="9">
        <f>SUM(L4:L24)</f>
        <v>12988</v>
      </c>
      <c r="M25" s="9"/>
      <c r="N25" s="9"/>
      <c r="O25" s="24">
        <f>SUM(O4:O24)</f>
        <v>425330.75567999994</v>
      </c>
      <c r="P25" s="64">
        <f>O25/D25*100</f>
        <v>30.700000020210155</v>
      </c>
      <c r="Q25" s="26">
        <f>D25/L25</f>
        <v>106.67094240837694</v>
      </c>
    </row>
    <row r="27" spans="1:17" ht="15" customHeight="1" x14ac:dyDescent="0.25">
      <c r="A27" s="36" t="s">
        <v>322</v>
      </c>
      <c r="B27" s="36" t="s">
        <v>323</v>
      </c>
      <c r="C27" s="36" t="s">
        <v>324</v>
      </c>
      <c r="D27" s="36" t="s">
        <v>325</v>
      </c>
      <c r="F27" s="37" t="s">
        <v>326</v>
      </c>
      <c r="G27" s="37" t="s">
        <v>327</v>
      </c>
      <c r="H27" s="37" t="s">
        <v>328</v>
      </c>
      <c r="I27" s="38"/>
    </row>
    <row r="28" spans="1:17" x14ac:dyDescent="0.25">
      <c r="A28" s="39">
        <f>D25/L25</f>
        <v>106.67094240837694</v>
      </c>
      <c r="B28" s="40">
        <f>COMBUSTIBLE!C55</f>
        <v>3851.0082326840002</v>
      </c>
      <c r="C28" s="41">
        <f>B28/L25*100</f>
        <v>29.650509952910379</v>
      </c>
      <c r="D28" s="42">
        <f>B34/B28</f>
        <v>67.575624025442906</v>
      </c>
      <c r="F28" s="43">
        <f>+B34/D25</f>
        <v>0.18783481869596536</v>
      </c>
      <c r="G28" s="43">
        <f>B39/D25</f>
        <v>0.26281622884276257</v>
      </c>
      <c r="H28" s="44"/>
      <c r="I28" s="38"/>
    </row>
    <row r="29" spans="1:17" x14ac:dyDescent="0.25">
      <c r="C29" s="2" t="s">
        <v>1222</v>
      </c>
      <c r="F29" s="38"/>
      <c r="G29" s="38"/>
      <c r="H29" s="38"/>
      <c r="I29" s="38"/>
    </row>
    <row r="30" spans="1:17" x14ac:dyDescent="0.25">
      <c r="A30" s="36"/>
      <c r="B30" s="36" t="s">
        <v>329</v>
      </c>
      <c r="C30" s="36" t="s">
        <v>330</v>
      </c>
      <c r="D30" s="36" t="s">
        <v>142</v>
      </c>
      <c r="K30" s="25"/>
      <c r="L30" s="29"/>
      <c r="M30" s="25"/>
      <c r="O30" s="2"/>
      <c r="P30" s="2"/>
      <c r="Q30" s="2"/>
    </row>
    <row r="31" spans="1:17" x14ac:dyDescent="0.25">
      <c r="A31" s="7" t="s">
        <v>331</v>
      </c>
      <c r="B31" s="24">
        <f>D25</f>
        <v>1385442.1999999997</v>
      </c>
      <c r="C31" s="45">
        <f>B32</f>
        <v>425330.75567999994</v>
      </c>
      <c r="D31" s="46">
        <f>C31/B31</f>
        <v>0.30700000020210155</v>
      </c>
      <c r="K31" s="25"/>
      <c r="L31" s="29"/>
      <c r="M31" s="25"/>
      <c r="O31" s="2"/>
      <c r="P31" s="2"/>
      <c r="Q31" s="2"/>
    </row>
    <row r="32" spans="1:17" x14ac:dyDescent="0.25">
      <c r="A32" s="47" t="s">
        <v>27</v>
      </c>
      <c r="B32" s="24">
        <f>O25</f>
        <v>425330.75567999994</v>
      </c>
      <c r="C32" s="9"/>
    </row>
    <row r="33" spans="1:4" x14ac:dyDescent="0.25">
      <c r="A33" s="48" t="s">
        <v>332</v>
      </c>
      <c r="B33" s="49">
        <f>(10*(78578.313+12454.55))/(150000+80000)*L25</f>
        <v>51405.861941043477</v>
      </c>
      <c r="C33" s="49">
        <f>(12*(78578.313+12454.55))/(150000+80000)*L25</f>
        <v>61687.034329252172</v>
      </c>
    </row>
    <row r="34" spans="1:4" x14ac:dyDescent="0.25">
      <c r="A34" s="48" t="s">
        <v>333</v>
      </c>
      <c r="B34" s="24">
        <f>COMBUSTIBLE!J55</f>
        <v>260234.28445073933</v>
      </c>
      <c r="C34" s="9"/>
    </row>
    <row r="35" spans="1:4" x14ac:dyDescent="0.25">
      <c r="A35" s="48" t="s">
        <v>334</v>
      </c>
      <c r="B35" s="24"/>
      <c r="C35" s="9"/>
    </row>
    <row r="36" spans="1:4" x14ac:dyDescent="0.25">
      <c r="A36" s="48" t="s">
        <v>335</v>
      </c>
      <c r="B36" s="24">
        <f>'PATENTE PROVINCIAL'!N15</f>
        <v>3277.5</v>
      </c>
      <c r="C36" s="42"/>
    </row>
    <row r="37" spans="1:4" x14ac:dyDescent="0.25">
      <c r="A37" s="48" t="s">
        <v>336</v>
      </c>
      <c r="B37" s="24">
        <f>'PATENTE MUNICIPAL'!I15</f>
        <v>4585.663333333333</v>
      </c>
      <c r="C37" s="42">
        <f>'PATENTE MUNICIPAL'!I14</f>
        <v>993.17333333333329</v>
      </c>
    </row>
    <row r="38" spans="1:4" x14ac:dyDescent="0.25">
      <c r="A38" s="48" t="s">
        <v>337</v>
      </c>
      <c r="B38" s="24">
        <f>SEGURO!K15</f>
        <v>1110.2246609740671</v>
      </c>
      <c r="C38" s="42">
        <f>SEGURO!K14</f>
        <v>235.56874699557241</v>
      </c>
    </row>
    <row r="39" spans="1:4" x14ac:dyDescent="0.25">
      <c r="A39" s="48" t="s">
        <v>338</v>
      </c>
      <c r="B39" s="24">
        <f>L25*SUELDOS!U25</f>
        <v>364116.69428362034</v>
      </c>
      <c r="C39" s="42"/>
      <c r="D39" s="50">
        <f>B39/L25</f>
        <v>28.034854810873139</v>
      </c>
    </row>
    <row r="40" spans="1:4" x14ac:dyDescent="0.25">
      <c r="A40" s="48" t="s">
        <v>339</v>
      </c>
      <c r="B40" s="24">
        <f>'GASTOS TRACTOR'!H112</f>
        <v>56134.787750000003</v>
      </c>
      <c r="C40" s="42">
        <f>'GASTOS SEMI'!H15</f>
        <v>1441.02</v>
      </c>
    </row>
    <row r="41" spans="1:4" x14ac:dyDescent="0.25">
      <c r="A41" s="48" t="s">
        <v>340</v>
      </c>
      <c r="B41" s="24">
        <f>SUM(B33:B40)</f>
        <v>740865.01641971048</v>
      </c>
      <c r="C41" s="51">
        <f>SUM(C33:C40)</f>
        <v>64356.796409581075</v>
      </c>
    </row>
    <row r="42" spans="1:4" x14ac:dyDescent="0.25">
      <c r="A42" s="36" t="s">
        <v>341</v>
      </c>
      <c r="B42" s="52">
        <f>B31-B32-B41</f>
        <v>219246.4279002893</v>
      </c>
      <c r="C42" s="53">
        <f>C31-C32-C41</f>
        <v>360973.95927041885</v>
      </c>
      <c r="D42" s="52">
        <f>+B42+C42</f>
        <v>580220.38717070816</v>
      </c>
    </row>
  </sheetData>
  <sortState xmlns:xlrd2="http://schemas.microsoft.com/office/spreadsheetml/2017/richdata2" ref="A2:P23">
    <sortCondition ref="A1"/>
  </sortState>
  <mergeCells count="28">
    <mergeCell ref="Q4:Q6"/>
    <mergeCell ref="P4:P6"/>
    <mergeCell ref="O4:O6"/>
    <mergeCell ref="A1:Q2"/>
    <mergeCell ref="Q9:Q10"/>
    <mergeCell ref="P9:P10"/>
    <mergeCell ref="O9:O10"/>
    <mergeCell ref="Q7:Q8"/>
    <mergeCell ref="P7:P8"/>
    <mergeCell ref="O7:O8"/>
    <mergeCell ref="Q13:Q14"/>
    <mergeCell ref="P13:P14"/>
    <mergeCell ref="O13:O14"/>
    <mergeCell ref="Q11:Q12"/>
    <mergeCell ref="P11:P12"/>
    <mergeCell ref="O11:O12"/>
    <mergeCell ref="Q17:Q19"/>
    <mergeCell ref="P17:P19"/>
    <mergeCell ref="O17:O19"/>
    <mergeCell ref="Q15:Q16"/>
    <mergeCell ref="P15:P16"/>
    <mergeCell ref="O15:O16"/>
    <mergeCell ref="Q22:Q23"/>
    <mergeCell ref="P22:P23"/>
    <mergeCell ref="O22:O23"/>
    <mergeCell ref="Q20:Q21"/>
    <mergeCell ref="P20:P21"/>
    <mergeCell ref="O20:O21"/>
  </mergeCells>
  <conditionalFormatting sqref="C28">
    <cfRule type="cellIs" dxfId="85" priority="1" operator="lessThan">
      <formula>29</formula>
    </cfRule>
    <cfRule type="cellIs" dxfId="84" priority="2" operator="greaterThan">
      <formula>38</formula>
    </cfRule>
    <cfRule type="cellIs" dxfId="83" priority="3" operator="lessThan">
      <formula>38</formula>
    </cfRule>
    <cfRule type="cellIs" dxfId="82" priority="4" operator="lessThan">
      <formula>38</formula>
    </cfRule>
    <cfRule type="cellIs" dxfId="81" priority="5" operator="greaterThan">
      <formula>40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Q40"/>
  <sheetViews>
    <sheetView topLeftCell="F13" zoomScaleNormal="100" workbookViewId="0">
      <selection activeCell="L23" sqref="L23"/>
    </sheetView>
  </sheetViews>
  <sheetFormatPr baseColWidth="10" defaultRowHeight="15" x14ac:dyDescent="0.25"/>
  <cols>
    <col min="1" max="1" width="14.42578125" style="2" bestFit="1" customWidth="1"/>
    <col min="2" max="2" width="14.5703125" style="2" bestFit="1" customWidth="1"/>
    <col min="3" max="3" width="14.28515625" style="2" bestFit="1" customWidth="1"/>
    <col min="4" max="4" width="14.5703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29.2851562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7" t="s">
        <v>346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44473</v>
      </c>
      <c r="B4" s="11">
        <v>3028634</v>
      </c>
      <c r="C4" s="11" t="s">
        <v>50</v>
      </c>
      <c r="D4" s="31">
        <v>134984.78</v>
      </c>
      <c r="E4" s="11" t="s">
        <v>51</v>
      </c>
      <c r="F4" s="11" t="s">
        <v>46</v>
      </c>
      <c r="G4" s="11" t="s">
        <v>126</v>
      </c>
      <c r="H4" s="11" t="s">
        <v>97</v>
      </c>
      <c r="I4" s="11" t="s">
        <v>145</v>
      </c>
      <c r="J4" s="11" t="s">
        <v>146</v>
      </c>
      <c r="K4" s="11" t="s">
        <v>147</v>
      </c>
      <c r="L4" s="11">
        <v>671</v>
      </c>
      <c r="M4" s="11">
        <v>37580</v>
      </c>
      <c r="N4" s="11" t="s">
        <v>38</v>
      </c>
      <c r="O4" s="637">
        <v>41440.32746</v>
      </c>
      <c r="P4" s="636">
        <f>O4/D4*100</f>
        <v>30.7</v>
      </c>
      <c r="Q4" s="630">
        <f>D4/(L4+L5)</f>
        <v>100.58478390461997</v>
      </c>
    </row>
    <row r="5" spans="1:17" ht="25.5" customHeight="1" x14ac:dyDescent="0.25">
      <c r="A5" s="10">
        <v>44474</v>
      </c>
      <c r="B5" s="11">
        <v>2816285</v>
      </c>
      <c r="C5" s="11" t="s">
        <v>9</v>
      </c>
      <c r="D5" s="31">
        <v>0</v>
      </c>
      <c r="E5" s="11"/>
      <c r="F5" s="11" t="s">
        <v>126</v>
      </c>
      <c r="G5" s="11" t="s">
        <v>46</v>
      </c>
      <c r="H5" s="11" t="s">
        <v>97</v>
      </c>
      <c r="I5" s="11" t="s">
        <v>145</v>
      </c>
      <c r="J5" s="11" t="s">
        <v>146</v>
      </c>
      <c r="K5" s="11" t="s">
        <v>147</v>
      </c>
      <c r="L5" s="11">
        <v>671</v>
      </c>
      <c r="M5" s="11">
        <v>0</v>
      </c>
      <c r="N5" s="11" t="s">
        <v>10</v>
      </c>
      <c r="O5" s="638"/>
      <c r="P5" s="636"/>
      <c r="Q5" s="630"/>
    </row>
    <row r="6" spans="1:17" ht="25.5" customHeight="1" x14ac:dyDescent="0.25">
      <c r="A6" s="16">
        <v>44475</v>
      </c>
      <c r="B6" s="17">
        <v>3030513</v>
      </c>
      <c r="C6" s="17" t="s">
        <v>50</v>
      </c>
      <c r="D6" s="34">
        <v>135201.22</v>
      </c>
      <c r="E6" s="17" t="s">
        <v>51</v>
      </c>
      <c r="F6" s="17" t="s">
        <v>46</v>
      </c>
      <c r="G6" s="17" t="s">
        <v>126</v>
      </c>
      <c r="H6" s="17" t="s">
        <v>97</v>
      </c>
      <c r="I6" s="17" t="s">
        <v>145</v>
      </c>
      <c r="J6" s="17" t="s">
        <v>146</v>
      </c>
      <c r="K6" s="17" t="s">
        <v>147</v>
      </c>
      <c r="L6" s="17">
        <v>671</v>
      </c>
      <c r="M6" s="17">
        <v>37480</v>
      </c>
      <c r="N6" s="17" t="s">
        <v>38</v>
      </c>
      <c r="O6" s="644">
        <v>41506.774539999999</v>
      </c>
      <c r="P6" s="643">
        <f>O6/D6*100</f>
        <v>30.7</v>
      </c>
      <c r="Q6" s="628">
        <f>D6/(L6+L7)</f>
        <v>100.74606557377049</v>
      </c>
    </row>
    <row r="7" spans="1:17" ht="25.5" customHeight="1" x14ac:dyDescent="0.25">
      <c r="A7" s="16">
        <v>44477</v>
      </c>
      <c r="B7" s="17">
        <v>2816389</v>
      </c>
      <c r="C7" s="17" t="s">
        <v>9</v>
      </c>
      <c r="D7" s="34">
        <v>0</v>
      </c>
      <c r="E7" s="17"/>
      <c r="F7" s="17" t="s">
        <v>126</v>
      </c>
      <c r="G7" s="17" t="s">
        <v>46</v>
      </c>
      <c r="H7" s="17" t="s">
        <v>97</v>
      </c>
      <c r="I7" s="17" t="s">
        <v>145</v>
      </c>
      <c r="J7" s="17" t="s">
        <v>146</v>
      </c>
      <c r="K7" s="17" t="s">
        <v>147</v>
      </c>
      <c r="L7" s="17">
        <v>671</v>
      </c>
      <c r="M7" s="17">
        <v>0</v>
      </c>
      <c r="N7" s="17" t="s">
        <v>10</v>
      </c>
      <c r="O7" s="645"/>
      <c r="P7" s="643"/>
      <c r="Q7" s="628"/>
    </row>
    <row r="8" spans="1:17" ht="25.5" customHeight="1" x14ac:dyDescent="0.25">
      <c r="A8" s="12">
        <v>44477</v>
      </c>
      <c r="B8" s="13">
        <v>3031475</v>
      </c>
      <c r="C8" s="13" t="s">
        <v>50</v>
      </c>
      <c r="D8" s="33">
        <v>111423.18</v>
      </c>
      <c r="E8" s="13" t="s">
        <v>51</v>
      </c>
      <c r="F8" s="13" t="s">
        <v>46</v>
      </c>
      <c r="G8" s="13" t="s">
        <v>148</v>
      </c>
      <c r="H8" s="13" t="s">
        <v>97</v>
      </c>
      <c r="I8" s="13" t="s">
        <v>145</v>
      </c>
      <c r="J8" s="13" t="s">
        <v>146</v>
      </c>
      <c r="K8" s="13" t="s">
        <v>147</v>
      </c>
      <c r="L8" s="13">
        <v>560</v>
      </c>
      <c r="M8" s="13">
        <v>37460</v>
      </c>
      <c r="N8" s="13" t="s">
        <v>38</v>
      </c>
      <c r="O8" s="640">
        <v>34206.916259999998</v>
      </c>
      <c r="P8" s="639">
        <f>O8/D8*100</f>
        <v>30.7</v>
      </c>
      <c r="Q8" s="634">
        <f>D8/(L8+L9)</f>
        <v>99.484982142857135</v>
      </c>
    </row>
    <row r="9" spans="1:17" ht="25.5" customHeight="1" x14ac:dyDescent="0.25">
      <c r="A9" s="12">
        <v>44480</v>
      </c>
      <c r="B9" s="13">
        <v>2816541</v>
      </c>
      <c r="C9" s="13" t="s">
        <v>9</v>
      </c>
      <c r="D9" s="33">
        <v>0</v>
      </c>
      <c r="E9" s="13"/>
      <c r="F9" s="13" t="s">
        <v>148</v>
      </c>
      <c r="G9" s="13" t="s">
        <v>46</v>
      </c>
      <c r="H9" s="13" t="s">
        <v>97</v>
      </c>
      <c r="I9" s="13" t="s">
        <v>145</v>
      </c>
      <c r="J9" s="13" t="s">
        <v>146</v>
      </c>
      <c r="K9" s="13" t="s">
        <v>147</v>
      </c>
      <c r="L9" s="13">
        <v>560</v>
      </c>
      <c r="M9" s="13">
        <v>0</v>
      </c>
      <c r="N9" s="13" t="s">
        <v>10</v>
      </c>
      <c r="O9" s="642"/>
      <c r="P9" s="639"/>
      <c r="Q9" s="634"/>
    </row>
    <row r="10" spans="1:17" ht="25.5" customHeight="1" x14ac:dyDescent="0.25">
      <c r="A10" s="14">
        <v>44483</v>
      </c>
      <c r="B10" s="15">
        <v>3033548</v>
      </c>
      <c r="C10" s="15" t="s">
        <v>50</v>
      </c>
      <c r="D10" s="35">
        <v>96072.85</v>
      </c>
      <c r="E10" s="15" t="s">
        <v>68</v>
      </c>
      <c r="F10" s="15" t="s">
        <v>46</v>
      </c>
      <c r="G10" s="15" t="s">
        <v>52</v>
      </c>
      <c r="H10" s="15" t="s">
        <v>97</v>
      </c>
      <c r="I10" s="15" t="s">
        <v>145</v>
      </c>
      <c r="J10" s="15" t="s">
        <v>146</v>
      </c>
      <c r="K10" s="15" t="s">
        <v>147</v>
      </c>
      <c r="L10" s="15">
        <v>450</v>
      </c>
      <c r="M10" s="15">
        <v>37480</v>
      </c>
      <c r="N10" s="15" t="s">
        <v>38</v>
      </c>
      <c r="O10" s="647">
        <v>29494.364949999999</v>
      </c>
      <c r="P10" s="646">
        <f>O10/D10*100</f>
        <v>30.7</v>
      </c>
      <c r="Q10" s="632">
        <f>D10/(L10+L11)</f>
        <v>106.74761111111111</v>
      </c>
    </row>
    <row r="11" spans="1:17" ht="25.5" customHeight="1" x14ac:dyDescent="0.25">
      <c r="A11" s="14">
        <v>44487</v>
      </c>
      <c r="B11" s="15">
        <v>2816542</v>
      </c>
      <c r="C11" s="15" t="s">
        <v>9</v>
      </c>
      <c r="D11" s="35">
        <v>0</v>
      </c>
      <c r="E11" s="15"/>
      <c r="F11" s="15" t="s">
        <v>52</v>
      </c>
      <c r="G11" s="15" t="s">
        <v>46</v>
      </c>
      <c r="H11" s="15" t="s">
        <v>97</v>
      </c>
      <c r="I11" s="15" t="s">
        <v>145</v>
      </c>
      <c r="J11" s="15" t="s">
        <v>146</v>
      </c>
      <c r="K11" s="15" t="s">
        <v>147</v>
      </c>
      <c r="L11" s="15">
        <v>450</v>
      </c>
      <c r="M11" s="15">
        <v>0</v>
      </c>
      <c r="N11" s="15" t="s">
        <v>10</v>
      </c>
      <c r="O11" s="648"/>
      <c r="P11" s="646"/>
      <c r="Q11" s="632"/>
    </row>
    <row r="12" spans="1:17" ht="25.5" customHeight="1" x14ac:dyDescent="0.25">
      <c r="A12" s="10">
        <v>44488</v>
      </c>
      <c r="B12" s="11">
        <v>3036133</v>
      </c>
      <c r="C12" s="11" t="s">
        <v>50</v>
      </c>
      <c r="D12" s="31">
        <v>134984.78</v>
      </c>
      <c r="E12" s="11" t="s">
        <v>68</v>
      </c>
      <c r="F12" s="11" t="s">
        <v>46</v>
      </c>
      <c r="G12" s="11" t="s">
        <v>126</v>
      </c>
      <c r="H12" s="11" t="s">
        <v>97</v>
      </c>
      <c r="I12" s="11" t="s">
        <v>145</v>
      </c>
      <c r="J12" s="11" t="s">
        <v>146</v>
      </c>
      <c r="K12" s="11" t="s">
        <v>147</v>
      </c>
      <c r="L12" s="11">
        <v>671</v>
      </c>
      <c r="M12" s="11">
        <v>37600</v>
      </c>
      <c r="N12" s="11" t="s">
        <v>38</v>
      </c>
      <c r="O12" s="637">
        <v>41440.32746</v>
      </c>
      <c r="P12" s="636">
        <f>O12/D12*100</f>
        <v>30.7</v>
      </c>
      <c r="Q12" s="630">
        <f>D12/(L12+L13)</f>
        <v>100.58478390461997</v>
      </c>
    </row>
    <row r="13" spans="1:17" ht="25.5" customHeight="1" x14ac:dyDescent="0.25">
      <c r="A13" s="10">
        <v>44489</v>
      </c>
      <c r="B13" s="11">
        <v>2816579</v>
      </c>
      <c r="C13" s="11" t="s">
        <v>9</v>
      </c>
      <c r="D13" s="31">
        <v>0</v>
      </c>
      <c r="E13" s="11"/>
      <c r="F13" s="11" t="s">
        <v>126</v>
      </c>
      <c r="G13" s="11" t="s">
        <v>46</v>
      </c>
      <c r="H13" s="11" t="s">
        <v>97</v>
      </c>
      <c r="I13" s="11" t="s">
        <v>145</v>
      </c>
      <c r="J13" s="11" t="s">
        <v>146</v>
      </c>
      <c r="K13" s="11" t="s">
        <v>147</v>
      </c>
      <c r="L13" s="11">
        <v>671</v>
      </c>
      <c r="M13" s="11">
        <v>0</v>
      </c>
      <c r="N13" s="11" t="s">
        <v>10</v>
      </c>
      <c r="O13" s="638"/>
      <c r="P13" s="636"/>
      <c r="Q13" s="630"/>
    </row>
    <row r="14" spans="1:17" ht="25.5" customHeight="1" x14ac:dyDescent="0.25">
      <c r="A14" s="16">
        <v>44490</v>
      </c>
      <c r="B14" s="17">
        <v>3036825</v>
      </c>
      <c r="C14" s="17" t="s">
        <v>50</v>
      </c>
      <c r="D14" s="34">
        <v>135561.95000000001</v>
      </c>
      <c r="E14" s="17" t="s">
        <v>68</v>
      </c>
      <c r="F14" s="17" t="s">
        <v>46</v>
      </c>
      <c r="G14" s="17" t="s">
        <v>126</v>
      </c>
      <c r="H14" s="17" t="s">
        <v>97</v>
      </c>
      <c r="I14" s="17" t="s">
        <v>145</v>
      </c>
      <c r="J14" s="17" t="s">
        <v>146</v>
      </c>
      <c r="K14" s="17" t="s">
        <v>147</v>
      </c>
      <c r="L14" s="17">
        <v>671</v>
      </c>
      <c r="M14" s="17">
        <v>37580</v>
      </c>
      <c r="N14" s="17" t="s">
        <v>38</v>
      </c>
      <c r="O14" s="644">
        <v>41617.518649999998</v>
      </c>
      <c r="P14" s="643">
        <f>O14/D14*100</f>
        <v>30.699999999999996</v>
      </c>
      <c r="Q14" s="628">
        <f>D14/(L14+L15)</f>
        <v>101.01486587183309</v>
      </c>
    </row>
    <row r="15" spans="1:17" ht="25.5" customHeight="1" x14ac:dyDescent="0.25">
      <c r="A15" s="16">
        <v>44492</v>
      </c>
      <c r="B15" s="17">
        <v>2816580</v>
      </c>
      <c r="C15" s="17" t="s">
        <v>9</v>
      </c>
      <c r="D15" s="34">
        <v>0</v>
      </c>
      <c r="E15" s="17"/>
      <c r="F15" s="17" t="s">
        <v>126</v>
      </c>
      <c r="G15" s="17" t="s">
        <v>46</v>
      </c>
      <c r="H15" s="17" t="s">
        <v>97</v>
      </c>
      <c r="I15" s="17" t="s">
        <v>145</v>
      </c>
      <c r="J15" s="17" t="s">
        <v>146</v>
      </c>
      <c r="K15" s="17" t="s">
        <v>147</v>
      </c>
      <c r="L15" s="17">
        <v>671</v>
      </c>
      <c r="M15" s="17">
        <v>0</v>
      </c>
      <c r="N15" s="17" t="s">
        <v>10</v>
      </c>
      <c r="O15" s="645"/>
      <c r="P15" s="643"/>
      <c r="Q15" s="628"/>
    </row>
    <row r="16" spans="1:17" ht="25.5" customHeight="1" x14ac:dyDescent="0.25">
      <c r="A16" s="12">
        <v>44494</v>
      </c>
      <c r="B16" s="13">
        <v>3038977</v>
      </c>
      <c r="C16" s="13" t="s">
        <v>50</v>
      </c>
      <c r="D16" s="33">
        <v>135128.92000000001</v>
      </c>
      <c r="E16" s="13" t="s">
        <v>68</v>
      </c>
      <c r="F16" s="13" t="s">
        <v>46</v>
      </c>
      <c r="G16" s="13" t="s">
        <v>126</v>
      </c>
      <c r="H16" s="13" t="s">
        <v>97</v>
      </c>
      <c r="I16" s="13" t="s">
        <v>145</v>
      </c>
      <c r="J16" s="13" t="s">
        <v>146</v>
      </c>
      <c r="K16" s="13" t="s">
        <v>147</v>
      </c>
      <c r="L16" s="13">
        <v>671</v>
      </c>
      <c r="M16" s="13">
        <v>37580</v>
      </c>
      <c r="N16" s="13" t="s">
        <v>38</v>
      </c>
      <c r="O16" s="640">
        <v>41484.578439999997</v>
      </c>
      <c r="P16" s="639">
        <f>O16/D16*100</f>
        <v>30.699999999999996</v>
      </c>
      <c r="Q16" s="634">
        <f>D16/(L16+L17)</f>
        <v>100.69219076005962</v>
      </c>
    </row>
    <row r="17" spans="1:17" ht="25.5" customHeight="1" x14ac:dyDescent="0.25">
      <c r="A17" s="12">
        <v>44494</v>
      </c>
      <c r="B17" s="13">
        <v>2816601</v>
      </c>
      <c r="C17" s="13" t="s">
        <v>9</v>
      </c>
      <c r="D17" s="33">
        <v>0</v>
      </c>
      <c r="E17" s="13"/>
      <c r="F17" s="13" t="s">
        <v>126</v>
      </c>
      <c r="G17" s="13" t="s">
        <v>46</v>
      </c>
      <c r="H17" s="13" t="s">
        <v>97</v>
      </c>
      <c r="I17" s="13" t="s">
        <v>145</v>
      </c>
      <c r="J17" s="13" t="s">
        <v>146</v>
      </c>
      <c r="K17" s="13" t="s">
        <v>147</v>
      </c>
      <c r="L17" s="13">
        <v>671</v>
      </c>
      <c r="M17" s="13">
        <v>0</v>
      </c>
      <c r="N17" s="13" t="s">
        <v>10</v>
      </c>
      <c r="O17" s="642"/>
      <c r="P17" s="639"/>
      <c r="Q17" s="634"/>
    </row>
    <row r="18" spans="1:17" ht="25.5" customHeight="1" x14ac:dyDescent="0.25">
      <c r="A18" s="14">
        <v>44495</v>
      </c>
      <c r="B18" s="15">
        <v>3039908</v>
      </c>
      <c r="C18" s="15" t="s">
        <v>50</v>
      </c>
      <c r="D18" s="35">
        <v>25924.25</v>
      </c>
      <c r="E18" s="15" t="s">
        <v>68</v>
      </c>
      <c r="F18" s="15" t="s">
        <v>46</v>
      </c>
      <c r="G18" s="15" t="s">
        <v>81</v>
      </c>
      <c r="H18" s="15" t="s">
        <v>97</v>
      </c>
      <c r="I18" s="15" t="s">
        <v>145</v>
      </c>
      <c r="J18" s="15" t="s">
        <v>146</v>
      </c>
      <c r="K18" s="15" t="s">
        <v>147</v>
      </c>
      <c r="L18" s="15">
        <v>120</v>
      </c>
      <c r="M18" s="15">
        <v>37500</v>
      </c>
      <c r="N18" s="15" t="s">
        <v>38</v>
      </c>
      <c r="O18" s="647">
        <v>7958.7447499999998</v>
      </c>
      <c r="P18" s="646">
        <f>O18/D18*100</f>
        <v>30.7</v>
      </c>
      <c r="Q18" s="632">
        <f>D18/(L18+L19)</f>
        <v>108.01770833333333</v>
      </c>
    </row>
    <row r="19" spans="1:17" ht="25.5" customHeight="1" x14ac:dyDescent="0.25">
      <c r="A19" s="14">
        <v>44496</v>
      </c>
      <c r="B19" s="15">
        <v>2816612</v>
      </c>
      <c r="C19" s="15" t="s">
        <v>9</v>
      </c>
      <c r="D19" s="35">
        <v>0</v>
      </c>
      <c r="E19" s="15"/>
      <c r="F19" s="15" t="s">
        <v>81</v>
      </c>
      <c r="G19" s="15" t="s">
        <v>46</v>
      </c>
      <c r="H19" s="15" t="s">
        <v>97</v>
      </c>
      <c r="I19" s="15" t="s">
        <v>145</v>
      </c>
      <c r="J19" s="15" t="s">
        <v>146</v>
      </c>
      <c r="K19" s="15" t="s">
        <v>147</v>
      </c>
      <c r="L19" s="15">
        <v>120</v>
      </c>
      <c r="M19" s="15">
        <v>0</v>
      </c>
      <c r="N19" s="15" t="s">
        <v>10</v>
      </c>
      <c r="O19" s="648"/>
      <c r="P19" s="646"/>
      <c r="Q19" s="632"/>
    </row>
    <row r="20" spans="1:17" ht="25.5" customHeight="1" x14ac:dyDescent="0.25">
      <c r="A20" s="73">
        <v>44496</v>
      </c>
      <c r="B20" s="60">
        <v>3040814</v>
      </c>
      <c r="C20" s="60" t="s">
        <v>50</v>
      </c>
      <c r="D20" s="30">
        <v>96175.89</v>
      </c>
      <c r="E20" s="60" t="s">
        <v>68</v>
      </c>
      <c r="F20" s="60" t="s">
        <v>46</v>
      </c>
      <c r="G20" s="60" t="s">
        <v>52</v>
      </c>
      <c r="H20" s="60" t="s">
        <v>97</v>
      </c>
      <c r="I20" s="60" t="s">
        <v>145</v>
      </c>
      <c r="J20" s="60" t="s">
        <v>146</v>
      </c>
      <c r="K20" s="60" t="s">
        <v>147</v>
      </c>
      <c r="L20" s="60">
        <v>450</v>
      </c>
      <c r="M20" s="60">
        <v>37520</v>
      </c>
      <c r="N20" s="60" t="s">
        <v>38</v>
      </c>
      <c r="O20" s="637">
        <v>29525.998230000001</v>
      </c>
      <c r="P20" s="636">
        <f>O20/D20*100</f>
        <v>30.7</v>
      </c>
      <c r="Q20" s="630">
        <f>D20/(L20+L21)</f>
        <v>106.8621</v>
      </c>
    </row>
    <row r="21" spans="1:17" ht="25.5" customHeight="1" x14ac:dyDescent="0.25">
      <c r="A21" s="73">
        <v>44498</v>
      </c>
      <c r="B21" s="60">
        <v>2816634</v>
      </c>
      <c r="C21" s="60" t="s">
        <v>9</v>
      </c>
      <c r="D21" s="30">
        <v>0</v>
      </c>
      <c r="E21" s="60"/>
      <c r="F21" s="60" t="s">
        <v>52</v>
      </c>
      <c r="G21" s="60" t="s">
        <v>46</v>
      </c>
      <c r="H21" s="60" t="s">
        <v>97</v>
      </c>
      <c r="I21" s="60" t="s">
        <v>145</v>
      </c>
      <c r="J21" s="60" t="s">
        <v>146</v>
      </c>
      <c r="K21" s="60" t="s">
        <v>147</v>
      </c>
      <c r="L21" s="60">
        <v>450</v>
      </c>
      <c r="M21" s="60">
        <v>0</v>
      </c>
      <c r="N21" s="60" t="s">
        <v>10</v>
      </c>
      <c r="O21" s="638"/>
      <c r="P21" s="636"/>
      <c r="Q21" s="630"/>
    </row>
    <row r="22" spans="1:17" ht="25.5" customHeight="1" x14ac:dyDescent="0.25">
      <c r="A22" s="3">
        <v>44498</v>
      </c>
      <c r="B22" s="4">
        <v>3041863</v>
      </c>
      <c r="C22" s="4" t="s">
        <v>50</v>
      </c>
      <c r="D22" s="5">
        <v>135345.35999999999</v>
      </c>
      <c r="E22" s="4" t="s">
        <v>68</v>
      </c>
      <c r="F22" s="4" t="s">
        <v>46</v>
      </c>
      <c r="G22" s="4" t="s">
        <v>126</v>
      </c>
      <c r="H22" s="4" t="s">
        <v>97</v>
      </c>
      <c r="I22" s="4" t="s">
        <v>145</v>
      </c>
      <c r="J22" s="4" t="s">
        <v>146</v>
      </c>
      <c r="K22" s="4" t="s">
        <v>147</v>
      </c>
      <c r="L22" s="4">
        <v>671</v>
      </c>
      <c r="M22" s="4">
        <v>37520</v>
      </c>
      <c r="N22" s="4" t="s">
        <v>38</v>
      </c>
      <c r="O22" s="5">
        <v>41551.025520000003</v>
      </c>
      <c r="P22" s="28">
        <f>O22/D22*100</f>
        <v>30.700000000000006</v>
      </c>
      <c r="Q22" s="24">
        <f>D22/L22</f>
        <v>201.70694485842026</v>
      </c>
    </row>
    <row r="23" spans="1:17" x14ac:dyDescent="0.25">
      <c r="A23" s="9"/>
      <c r="B23" s="9"/>
      <c r="C23" s="9"/>
      <c r="D23" s="18">
        <f>SUM(D4:D22)</f>
        <v>1140803.1800000002</v>
      </c>
      <c r="E23" s="9"/>
      <c r="F23" s="9"/>
      <c r="G23" s="9"/>
      <c r="H23" s="9"/>
      <c r="I23" s="9"/>
      <c r="J23" s="9"/>
      <c r="K23" s="9"/>
      <c r="L23" s="9">
        <f>SUM(L4:L22)</f>
        <v>10541</v>
      </c>
      <c r="M23" s="9"/>
      <c r="N23" s="9"/>
      <c r="O23" s="24">
        <f>SUM(O4:O22)</f>
        <v>350226.57626000006</v>
      </c>
      <c r="P23" s="28">
        <f>O23/D23*100</f>
        <v>30.7</v>
      </c>
      <c r="Q23" s="26">
        <f>D23/L23</f>
        <v>108.22532776776399</v>
      </c>
    </row>
    <row r="25" spans="1:17" ht="15" customHeight="1" x14ac:dyDescent="0.25">
      <c r="A25" s="36" t="s">
        <v>322</v>
      </c>
      <c r="B25" s="36" t="s">
        <v>323</v>
      </c>
      <c r="C25" s="36" t="s">
        <v>324</v>
      </c>
      <c r="D25" s="36" t="s">
        <v>325</v>
      </c>
      <c r="F25" s="37" t="s">
        <v>326</v>
      </c>
      <c r="G25" s="37" t="s">
        <v>327</v>
      </c>
      <c r="H25" s="37" t="s">
        <v>328</v>
      </c>
      <c r="I25" s="38"/>
    </row>
    <row r="26" spans="1:17" x14ac:dyDescent="0.25">
      <c r="A26" s="39">
        <f>D23/L23</f>
        <v>108.22532776776399</v>
      </c>
      <c r="B26" s="40">
        <f>COMBUSTIBLE!C75</f>
        <v>4441.34</v>
      </c>
      <c r="C26" s="41">
        <f>B26/L23*100</f>
        <v>42.133953135376153</v>
      </c>
      <c r="D26" s="42">
        <f>B32/B26</f>
        <v>68.850744550010702</v>
      </c>
      <c r="F26" s="43">
        <f>+B32/D23</f>
        <v>0.26804760993017612</v>
      </c>
      <c r="G26" s="43">
        <f>B37/D23</f>
        <v>0.31541757755532346</v>
      </c>
      <c r="H26" s="44"/>
      <c r="I26" s="38"/>
    </row>
    <row r="27" spans="1:17" x14ac:dyDescent="0.25">
      <c r="C27" s="2" t="s">
        <v>1223</v>
      </c>
      <c r="F27" s="38"/>
      <c r="G27" s="38"/>
      <c r="H27" s="38"/>
      <c r="I27" s="38"/>
    </row>
    <row r="28" spans="1:17" x14ac:dyDescent="0.25">
      <c r="A28" s="36"/>
      <c r="B28" s="36" t="s">
        <v>329</v>
      </c>
      <c r="C28" s="36" t="s">
        <v>330</v>
      </c>
      <c r="D28" s="36" t="s">
        <v>147</v>
      </c>
      <c r="K28" s="25"/>
      <c r="L28" s="29"/>
      <c r="M28" s="25"/>
      <c r="O28" s="2"/>
      <c r="P28" s="2"/>
      <c r="Q28" s="2"/>
    </row>
    <row r="29" spans="1:17" x14ac:dyDescent="0.25">
      <c r="A29" s="7" t="s">
        <v>331</v>
      </c>
      <c r="B29" s="24">
        <f>D23</f>
        <v>1140803.1800000002</v>
      </c>
      <c r="C29" s="45">
        <f>B30</f>
        <v>350226.57626000006</v>
      </c>
      <c r="D29" s="46">
        <f>C29/B29</f>
        <v>0.307</v>
      </c>
      <c r="K29" s="25"/>
      <c r="L29" s="29"/>
      <c r="M29" s="25"/>
      <c r="O29" s="2"/>
      <c r="P29" s="2"/>
      <c r="Q29" s="2"/>
    </row>
    <row r="30" spans="1:17" x14ac:dyDescent="0.25">
      <c r="A30" s="47" t="s">
        <v>27</v>
      </c>
      <c r="B30" s="24">
        <f>O23</f>
        <v>350226.57626000006</v>
      </c>
      <c r="C30" s="9"/>
    </row>
    <row r="31" spans="1:17" x14ac:dyDescent="0.25">
      <c r="A31" s="48" t="s">
        <v>332</v>
      </c>
      <c r="B31" s="49">
        <f>(10*(78578.313+12454.55))/(150000+80000)*L23</f>
        <v>41720.756907956522</v>
      </c>
      <c r="C31" s="49">
        <f>(12*(78578.313+12454.55))/(150000+80000)*L23</f>
        <v>50064.90828954782</v>
      </c>
    </row>
    <row r="32" spans="1:17" x14ac:dyDescent="0.25">
      <c r="A32" s="48" t="s">
        <v>333</v>
      </c>
      <c r="B32" s="24">
        <f>COMBUSTIBLE!J75</f>
        <v>305789.56579974457</v>
      </c>
      <c r="C32" s="9"/>
    </row>
    <row r="33" spans="1:4" x14ac:dyDescent="0.25">
      <c r="A33" s="48" t="s">
        <v>334</v>
      </c>
      <c r="B33" s="24"/>
      <c r="C33" s="9"/>
    </row>
    <row r="34" spans="1:4" x14ac:dyDescent="0.25">
      <c r="A34" s="48" t="s">
        <v>335</v>
      </c>
      <c r="B34" s="24">
        <f>'PATENTE PROVINCIAL'!N16</f>
        <v>3277.5</v>
      </c>
      <c r="C34" s="42"/>
    </row>
    <row r="35" spans="1:4" x14ac:dyDescent="0.25">
      <c r="A35" s="48" t="s">
        <v>336</v>
      </c>
      <c r="B35" s="24">
        <f>'PATENTE MUNICIPAL'!I16</f>
        <v>4585.663333333333</v>
      </c>
      <c r="C35" s="42">
        <f>'PATENTE MUNICIPAL'!I18</f>
        <v>1605</v>
      </c>
    </row>
    <row r="36" spans="1:4" x14ac:dyDescent="0.25">
      <c r="A36" s="48" t="s">
        <v>337</v>
      </c>
      <c r="B36" s="24">
        <f>SEGURO!K16</f>
        <v>1110.2246609740671</v>
      </c>
      <c r="C36" s="42">
        <f>SEGURO!K18</f>
        <v>235.56874699557241</v>
      </c>
    </row>
    <row r="37" spans="1:4" x14ac:dyDescent="0.25">
      <c r="A37" s="48" t="s">
        <v>338</v>
      </c>
      <c r="B37" s="24">
        <f>L23*SUELDOS!Z13</f>
        <v>359829.37550300971</v>
      </c>
      <c r="C37" s="42"/>
      <c r="D37" s="50">
        <f>B37/L23</f>
        <v>34.136170714639</v>
      </c>
    </row>
    <row r="38" spans="1:4" x14ac:dyDescent="0.25">
      <c r="A38" s="48" t="s">
        <v>339</v>
      </c>
      <c r="B38" s="24">
        <f>'GASTOS TRACTOR'!H129</f>
        <v>30109.481</v>
      </c>
      <c r="C38" s="42">
        <f>'GASTOS SEMI'!H24</f>
        <v>12249.4714</v>
      </c>
    </row>
    <row r="39" spans="1:4" x14ac:dyDescent="0.25">
      <c r="A39" s="48" t="s">
        <v>340</v>
      </c>
      <c r="B39" s="24">
        <f>SUM(B31:B38)</f>
        <v>746422.56720501825</v>
      </c>
      <c r="C39" s="51">
        <f>SUM(C31:C38)</f>
        <v>64154.948436543396</v>
      </c>
    </row>
    <row r="40" spans="1:4" x14ac:dyDescent="0.25">
      <c r="A40" s="36" t="s">
        <v>341</v>
      </c>
      <c r="B40" s="52">
        <f>B29-B30-B39</f>
        <v>44154.036534981919</v>
      </c>
      <c r="C40" s="53">
        <f>C29-C30-C39</f>
        <v>286071.62782345666</v>
      </c>
      <c r="D40" s="52">
        <f>+B40+C40</f>
        <v>330225.66435843857</v>
      </c>
    </row>
  </sheetData>
  <sortState xmlns:xlrd2="http://schemas.microsoft.com/office/spreadsheetml/2017/richdata2" ref="A2:P21">
    <sortCondition ref="A1"/>
  </sortState>
  <mergeCells count="28">
    <mergeCell ref="Q4:Q5"/>
    <mergeCell ref="P4:P5"/>
    <mergeCell ref="O4:O5"/>
    <mergeCell ref="A1:Q2"/>
    <mergeCell ref="Q8:Q9"/>
    <mergeCell ref="P8:P9"/>
    <mergeCell ref="O8:O9"/>
    <mergeCell ref="Q6:Q7"/>
    <mergeCell ref="P6:P7"/>
    <mergeCell ref="O6:O7"/>
    <mergeCell ref="Q12:Q13"/>
    <mergeCell ref="P12:P13"/>
    <mergeCell ref="O12:O13"/>
    <mergeCell ref="Q10:Q11"/>
    <mergeCell ref="P10:P11"/>
    <mergeCell ref="O10:O11"/>
    <mergeCell ref="Q16:Q17"/>
    <mergeCell ref="P16:P17"/>
    <mergeCell ref="O16:O17"/>
    <mergeCell ref="Q14:Q15"/>
    <mergeCell ref="P14:P15"/>
    <mergeCell ref="O14:O15"/>
    <mergeCell ref="Q20:Q21"/>
    <mergeCell ref="P20:P21"/>
    <mergeCell ref="O20:O21"/>
    <mergeCell ref="Q18:Q19"/>
    <mergeCell ref="P18:P19"/>
    <mergeCell ref="O18:O19"/>
  </mergeCells>
  <conditionalFormatting sqref="C26">
    <cfRule type="cellIs" dxfId="80" priority="1" operator="lessThan">
      <formula>29</formula>
    </cfRule>
    <cfRule type="cellIs" dxfId="79" priority="2" operator="greaterThan">
      <formula>38</formula>
    </cfRule>
    <cfRule type="cellIs" dxfId="78" priority="3" operator="lessThan">
      <formula>38</formula>
    </cfRule>
    <cfRule type="cellIs" dxfId="77" priority="4" operator="lessThan">
      <formula>38</formula>
    </cfRule>
    <cfRule type="cellIs" dxfId="76" priority="5" operator="greaterThan">
      <formula>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63</vt:i4>
      </vt:variant>
    </vt:vector>
  </HeadingPairs>
  <TitlesOfParts>
    <vt:vector size="63" baseType="lpstr">
      <vt:lpstr>PEDIDO NICO</vt:lpstr>
      <vt:lpstr>RESUMEN</vt:lpstr>
      <vt:lpstr>PROM COMBUSTIBLE</vt:lpstr>
      <vt:lpstr>$ x KM ARROYITO</vt:lpstr>
      <vt:lpstr>AC121PI_VIAR</vt:lpstr>
      <vt:lpstr>AC121PJ_VIAR</vt:lpstr>
      <vt:lpstr>AC121PK_VIAR</vt:lpstr>
      <vt:lpstr>AD414GY_VIAR</vt:lpstr>
      <vt:lpstr>AD414GZ_VIAR</vt:lpstr>
      <vt:lpstr>AD533SA_VIAR</vt:lpstr>
      <vt:lpstr>FWT827_VIAR</vt:lpstr>
      <vt:lpstr>HWF024_VIAR</vt:lpstr>
      <vt:lpstr>HWF026_VIAR</vt:lpstr>
      <vt:lpstr>JRY934_VIAR</vt:lpstr>
      <vt:lpstr>JZP219_VIAR</vt:lpstr>
      <vt:lpstr>KMU56_VIAR</vt:lpstr>
      <vt:lpstr>KOL760_VIAR</vt:lpstr>
      <vt:lpstr>KWO766_VIAR</vt:lpstr>
      <vt:lpstr>LUY734_VIAR</vt:lpstr>
      <vt:lpstr>MAV483_VIAR</vt:lpstr>
      <vt:lpstr>MMN838_VIAR</vt:lpstr>
      <vt:lpstr>ORO021_VIAR</vt:lpstr>
      <vt:lpstr>OXJ862_VIAR</vt:lpstr>
      <vt:lpstr>KHL103_ARDILES</vt:lpstr>
      <vt:lpstr>KSS334_CUGNO E</vt:lpstr>
      <vt:lpstr>KNA501_CUGNO G</vt:lpstr>
      <vt:lpstr>HPJ126_CUGNO G</vt:lpstr>
      <vt:lpstr>MMN880_CUGNO M</vt:lpstr>
      <vt:lpstr>JJA110_GENTA</vt:lpstr>
      <vt:lpstr>AA702TE_GIACONE</vt:lpstr>
      <vt:lpstr>AB595CA_GUAL</vt:lpstr>
      <vt:lpstr>KOE220_BALDASSARRE</vt:lpstr>
      <vt:lpstr>KSL959_BALDASSARRE</vt:lpstr>
      <vt:lpstr>AA996WC_CASTILLO</vt:lpstr>
      <vt:lpstr>AD864HO_FERREYRA</vt:lpstr>
      <vt:lpstr>AC377BI_GODOY</vt:lpstr>
      <vt:lpstr>AA612XR_ITATI</vt:lpstr>
      <vt:lpstr>HVE658_ITATI</vt:lpstr>
      <vt:lpstr>KNQ676_ITATI</vt:lpstr>
      <vt:lpstr>OMA273_LOPEZ</vt:lpstr>
      <vt:lpstr>KGF058_REYERO</vt:lpstr>
      <vt:lpstr>AE502ET_S.Y.L</vt:lpstr>
      <vt:lpstr>MBP526_S.Y.L</vt:lpstr>
      <vt:lpstr>AB206GS_S.Y.L</vt:lpstr>
      <vt:lpstr>AA327US_TAMES</vt:lpstr>
      <vt:lpstr>AB631DS_TRANSP M Y H</vt:lpstr>
      <vt:lpstr>HVW275_DE LA RUBIA</vt:lpstr>
      <vt:lpstr>HZG214_DE LA RUBIA</vt:lpstr>
      <vt:lpstr>IIJ763_POPULIN</vt:lpstr>
      <vt:lpstr>AB687SH_TURCHETTI</vt:lpstr>
      <vt:lpstr>AC136AZ_TURCHETTI</vt:lpstr>
      <vt:lpstr>UNIDADES SIN USO</vt:lpstr>
      <vt:lpstr>SEGURO</vt:lpstr>
      <vt:lpstr>PATENTE MUNICIPAL</vt:lpstr>
      <vt:lpstr>PATENTE PROVINCIAL</vt:lpstr>
      <vt:lpstr>AC121PH_VIAR</vt:lpstr>
      <vt:lpstr>df0</vt:lpstr>
      <vt:lpstr>COMBUSTIBLE</vt:lpstr>
      <vt:lpstr>SUELDOS</vt:lpstr>
      <vt:lpstr>$ x KM Cargadores</vt:lpstr>
      <vt:lpstr>GASTOS</vt:lpstr>
      <vt:lpstr>GASTOS TRACTOR</vt:lpstr>
      <vt:lpstr>GASTOS SEMI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Gigena</dc:creator>
  <cp:lastModifiedBy>User</cp:lastModifiedBy>
  <cp:lastPrinted>2022-01-22T13:41:54Z</cp:lastPrinted>
  <dcterms:created xsi:type="dcterms:W3CDTF">2021-11-25T18:17:27Z</dcterms:created>
  <dcterms:modified xsi:type="dcterms:W3CDTF">2022-03-10T15:23:36Z</dcterms:modified>
</cp:coreProperties>
</file>