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lo\Documents\Informatica\Tesis-LGBS\Documentación\Documentación Diseño\"/>
    </mc:Choice>
  </mc:AlternateContent>
  <xr:revisionPtr revIDLastSave="0" documentId="13_ncr:1_{47C3B3D8-40AC-4042-AC3C-753534BF1073}" xr6:coauthVersionLast="47" xr6:coauthVersionMax="47" xr10:uidLastSave="{00000000-0000-0000-0000-000000000000}"/>
  <bookViews>
    <workbookView xWindow="-120" yWindow="-120" windowWidth="29040" windowHeight="15840" xr2:uid="{F2F866EF-2114-45E6-8A96-64F5B5ACC2C1}"/>
  </bookViews>
  <sheets>
    <sheet name="Sistema" sheetId="14" r:id="rId1"/>
    <sheet name="MainBoard" sheetId="10" r:id="rId2"/>
    <sheet name="ExpBoard" sheetId="7" r:id="rId3"/>
    <sheet name="DiffDrivers" sheetId="12" r:id="rId4"/>
    <sheet name="CAN" sheetId="13" r:id="rId5"/>
    <sheet name="Flyback" sheetId="6" r:id="rId6"/>
    <sheet name="Buck" sheetId="1" r:id="rId7"/>
    <sheet name="Sensores de corriente" sheetId="3" r:id="rId8"/>
    <sheet name="ModulosTrifasica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J8" i="1"/>
  <c r="F8" i="5"/>
  <c r="J8" i="5"/>
  <c r="B12" i="5"/>
  <c r="D8" i="12"/>
  <c r="D8" i="13"/>
  <c r="H8" i="1"/>
  <c r="G8" i="1"/>
  <c r="G8" i="5"/>
  <c r="J8" i="6"/>
  <c r="E8" i="5"/>
  <c r="L3" i="14"/>
  <c r="F8" i="13"/>
  <c r="L3" i="13"/>
  <c r="F8" i="12"/>
  <c r="E8" i="12"/>
  <c r="C8" i="12"/>
  <c r="B12" i="12" s="1"/>
  <c r="G8" i="10" s="1"/>
  <c r="L3" i="12"/>
  <c r="L3" i="10"/>
  <c r="L3" i="7"/>
  <c r="B8" i="6"/>
  <c r="B12" i="6" s="1"/>
  <c r="L3" i="6"/>
  <c r="I8" i="6" s="1"/>
  <c r="B8" i="5"/>
  <c r="L3" i="5"/>
  <c r="K8" i="3"/>
  <c r="J8" i="3"/>
  <c r="I8" i="3"/>
  <c r="G8" i="3"/>
  <c r="E8" i="3"/>
  <c r="D8" i="3"/>
  <c r="L3" i="3"/>
  <c r="C8" i="3" s="1"/>
  <c r="I8" i="1"/>
  <c r="F8" i="1"/>
  <c r="E8" i="1"/>
  <c r="D8" i="1"/>
  <c r="C8" i="1"/>
  <c r="B8" i="1"/>
  <c r="L3" i="1"/>
  <c r="B12" i="1" l="1"/>
  <c r="B13" i="1" s="1"/>
  <c r="B14" i="1" s="1"/>
  <c r="B15" i="1" s="1"/>
  <c r="B16" i="1" s="1"/>
  <c r="F8" i="7"/>
  <c r="C8" i="10"/>
  <c r="C8" i="7"/>
  <c r="B8" i="7"/>
  <c r="H8" i="10"/>
  <c r="C8" i="13"/>
  <c r="B12" i="13" s="1"/>
  <c r="E8" i="13"/>
  <c r="B13" i="12"/>
  <c r="B14" i="12" s="1"/>
  <c r="B15" i="12" s="1"/>
  <c r="B16" i="12" s="1"/>
  <c r="B13" i="6"/>
  <c r="B14" i="6" s="1"/>
  <c r="B15" i="6" s="1"/>
  <c r="B16" i="6" s="1"/>
  <c r="E8" i="6"/>
  <c r="F8" i="6"/>
  <c r="D8" i="7"/>
  <c r="I8" i="5"/>
  <c r="B8" i="3"/>
  <c r="B12" i="3" s="1"/>
  <c r="D8" i="10" l="1"/>
  <c r="B12" i="7"/>
  <c r="B13" i="7" s="1"/>
  <c r="B14" i="7" s="1"/>
  <c r="B15" i="7" s="1"/>
  <c r="B16" i="7" s="1"/>
  <c r="B8" i="10"/>
  <c r="B12" i="10" s="1"/>
  <c r="B8" i="14" s="1"/>
  <c r="B13" i="3"/>
  <c r="B14" i="3" s="1"/>
  <c r="B15" i="3" s="1"/>
  <c r="B16" i="3" s="1"/>
  <c r="B13" i="5"/>
  <c r="B14" i="5" s="1"/>
  <c r="B15" i="5" s="1"/>
  <c r="B16" i="5" s="1"/>
  <c r="C8" i="14" l="1"/>
  <c r="B12" i="14" s="1"/>
  <c r="B13" i="14" s="1"/>
  <c r="B14" i="14" s="1"/>
  <c r="B15" i="14" s="1"/>
  <c r="B16" i="14" s="1"/>
  <c r="B13" i="13"/>
  <c r="B14" i="13" s="1"/>
  <c r="B15" i="13" s="1"/>
  <c r="B16" i="13" s="1"/>
  <c r="B13" i="10"/>
  <c r="B14" i="10" s="1"/>
  <c r="B15" i="10" s="1"/>
  <c r="B16" i="10" s="1"/>
</calcChain>
</file>

<file path=xl/sharedStrings.xml><?xml version="1.0" encoding="utf-8"?>
<sst xmlns="http://schemas.openxmlformats.org/spreadsheetml/2006/main" count="388" uniqueCount="76">
  <si>
    <t>C</t>
  </si>
  <si>
    <t>L</t>
  </si>
  <si>
    <t>R</t>
  </si>
  <si>
    <t>ID</t>
  </si>
  <si>
    <t>IC</t>
  </si>
  <si>
    <t>π_Q</t>
  </si>
  <si>
    <t>ALL</t>
  </si>
  <si>
    <t>π_A</t>
  </si>
  <si>
    <t>UNIT</t>
  </si>
  <si>
    <t>π_T</t>
  </si>
  <si>
    <t>LINEAL</t>
  </si>
  <si>
    <t>SWITCHING</t>
  </si>
  <si>
    <t>π_e (GROUNDFIXED)</t>
  </si>
  <si>
    <t>π_e (GROUNDMOBILE)</t>
  </si>
  <si>
    <t>λ_0</t>
  </si>
  <si>
    <t>0.1 µF</t>
  </si>
  <si>
    <t>10 µF</t>
  </si>
  <si>
    <t>100 pF</t>
  </si>
  <si>
    <t>LM1117</t>
  </si>
  <si>
    <t>AP63200</t>
  </si>
  <si>
    <t>10 µH</t>
  </si>
  <si>
    <t>22 µF</t>
  </si>
  <si>
    <t>λ_C0.1u</t>
  </si>
  <si>
    <t>λ_C10u</t>
  </si>
  <si>
    <t>λ_C100p</t>
  </si>
  <si>
    <t>λ_C22u</t>
  </si>
  <si>
    <t>λ_L10u</t>
  </si>
  <si>
    <t>λ_R91K</t>
  </si>
  <si>
    <t>λ_R10K</t>
  </si>
  <si>
    <t>λ_ICAP63</t>
  </si>
  <si>
    <t>λ_ICLM1117</t>
  </si>
  <si>
    <t>RALL</t>
  </si>
  <si>
    <t>R smd</t>
  </si>
  <si>
    <t>λ_t</t>
  </si>
  <si>
    <t>MTTF (hs)</t>
  </si>
  <si>
    <t>MTTF (D)</t>
  </si>
  <si>
    <t>MTTF (M)</t>
  </si>
  <si>
    <t>MTTF (A)</t>
  </si>
  <si>
    <t>λ_R1.8K</t>
  </si>
  <si>
    <t>λ_ACS724</t>
  </si>
  <si>
    <t>λ_OPA314</t>
  </si>
  <si>
    <t>λ_ADS7044</t>
  </si>
  <si>
    <t>ACS724</t>
  </si>
  <si>
    <t>OPA314</t>
  </si>
  <si>
    <t>ADS7044</t>
  </si>
  <si>
    <t>λ_C22n</t>
  </si>
  <si>
    <t>22 nF</t>
  </si>
  <si>
    <t>BJT</t>
  </si>
  <si>
    <t>MOSFET</t>
  </si>
  <si>
    <t>Opto</t>
  </si>
  <si>
    <t>λ_C</t>
  </si>
  <si>
    <t>λ_R</t>
  </si>
  <si>
    <t>λ_TLP152TPLE</t>
  </si>
  <si>
    <t>λ_MOSFET</t>
  </si>
  <si>
    <t>λ_BJT</t>
  </si>
  <si>
    <t>λ_Diodo</t>
  </si>
  <si>
    <t>Diodo sw</t>
  </si>
  <si>
    <t>λ_flyback</t>
  </si>
  <si>
    <t>λ_buck</t>
  </si>
  <si>
    <t>λ_trifasica</t>
  </si>
  <si>
    <t>λ_FPGA</t>
  </si>
  <si>
    <t>λ_uC</t>
  </si>
  <si>
    <t>MTBF (hs)</t>
  </si>
  <si>
    <t>MTBF (D)</t>
  </si>
  <si>
    <t>MTBF (M)</t>
  </si>
  <si>
    <t>MTBF (A)</t>
  </si>
  <si>
    <t>λ_RJ45</t>
  </si>
  <si>
    <t>RJ45</t>
  </si>
  <si>
    <t>λ_LVDS</t>
  </si>
  <si>
    <t>LVDS</t>
  </si>
  <si>
    <t>λ_MCP</t>
  </si>
  <si>
    <t>MCP</t>
  </si>
  <si>
    <t>λ_CAN</t>
  </si>
  <si>
    <t>λ_diff</t>
  </si>
  <si>
    <t>λ_main</t>
  </si>
  <si>
    <t>λ_exp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</si>
</sst>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1D3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4930-3DF9-49A8-9EF1-BC882B7E346A}">
  <dimension ref="A1:Z16"/>
  <sheetViews>
    <sheetView tabSelected="1" workbookViewId="0">
      <selection activeCell="H15" sqref="H15"/>
    </sheetView>
  </sheetViews>
  <sheetFormatPr baseColWidth="10" defaultColWidth="8.85546875" defaultRowHeight="15" x14ac:dyDescent="0.25"/>
  <cols>
    <col min="2" max="2" width="11.7109375" bestFit="1" customWidth="1"/>
    <col min="4" max="4" width="10.140625" bestFit="1" customWidth="1"/>
    <col min="5" max="5" width="10.140625" customWidth="1"/>
    <col min="6" max="6" width="10.28515625" customWidth="1"/>
    <col min="8" max="8" width="9.28515625" bestFit="1" customWidth="1"/>
    <col min="9" max="9" width="13.28515625" bestFit="1" customWidth="1"/>
    <col min="10" max="10" width="10.7109375" bestFit="1" customWidth="1"/>
    <col min="11" max="11" width="12.5703125" bestFit="1" customWidth="1"/>
    <col min="13" max="13" width="5.85546875" bestFit="1" customWidth="1"/>
  </cols>
  <sheetData>
    <row r="1" spans="1:26" x14ac:dyDescent="0.25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6" s="1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</row>
    <row r="3" spans="1:26" x14ac:dyDescent="0.25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2</v>
      </c>
      <c r="N3">
        <v>2</v>
      </c>
      <c r="O3">
        <v>2</v>
      </c>
      <c r="P3">
        <v>2</v>
      </c>
      <c r="Q3">
        <v>0.5</v>
      </c>
      <c r="R3">
        <v>2</v>
      </c>
      <c r="S3">
        <v>10</v>
      </c>
      <c r="T3">
        <v>10</v>
      </c>
      <c r="U3">
        <v>20</v>
      </c>
      <c r="V3">
        <v>1</v>
      </c>
      <c r="W3">
        <v>18</v>
      </c>
      <c r="X3">
        <v>12</v>
      </c>
      <c r="Y3">
        <v>2.5</v>
      </c>
      <c r="Z3">
        <v>1</v>
      </c>
    </row>
    <row r="7" spans="1:26" x14ac:dyDescent="0.25">
      <c r="A7" s="3" t="s">
        <v>8</v>
      </c>
      <c r="B7" s="3" t="s">
        <v>74</v>
      </c>
      <c r="C7" s="3" t="s">
        <v>75</v>
      </c>
      <c r="D7" s="3"/>
      <c r="E7" s="3"/>
      <c r="F7" s="3"/>
      <c r="G7" s="3"/>
      <c r="H7" s="3"/>
      <c r="I7" s="3"/>
      <c r="J7" s="3"/>
      <c r="K7" s="3"/>
    </row>
    <row r="8" spans="1:26" x14ac:dyDescent="0.25">
      <c r="A8" s="4">
        <v>1E-8</v>
      </c>
      <c r="B8">
        <f>MainBoard!$B$12</f>
        <v>1454.4455817920971</v>
      </c>
      <c r="C8">
        <f>ExpBoard!$B$12</f>
        <v>1444.3988889679015</v>
      </c>
    </row>
    <row r="12" spans="1:26" x14ac:dyDescent="0.25">
      <c r="A12" s="7" t="s">
        <v>33</v>
      </c>
      <c r="B12">
        <f>SUM(B8:H8)</f>
        <v>2898.8444707599983</v>
      </c>
    </row>
    <row r="13" spans="1:26" x14ac:dyDescent="0.25">
      <c r="A13" s="7" t="s">
        <v>62</v>
      </c>
      <c r="B13">
        <f>1/(B12*10^(-9))</f>
        <v>344965.04041068029</v>
      </c>
    </row>
    <row r="14" spans="1:26" x14ac:dyDescent="0.25">
      <c r="A14" s="7" t="s">
        <v>63</v>
      </c>
      <c r="B14">
        <f>B13/3600</f>
        <v>95.823622336300076</v>
      </c>
    </row>
    <row r="15" spans="1:26" x14ac:dyDescent="0.25">
      <c r="A15" s="7" t="s">
        <v>64</v>
      </c>
      <c r="B15">
        <f>B14/31</f>
        <v>3.091084591493551</v>
      </c>
    </row>
    <row r="16" spans="1:26" x14ac:dyDescent="0.25">
      <c r="A16" s="7" t="s">
        <v>65</v>
      </c>
      <c r="B16">
        <f>B15/12</f>
        <v>0.2575903826244626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BDC6-2D39-47FE-AB53-C640B7E03374}">
  <dimension ref="A1:Z16"/>
  <sheetViews>
    <sheetView workbookViewId="0">
      <selection activeCell="J16" sqref="J16"/>
    </sheetView>
  </sheetViews>
  <sheetFormatPr baseColWidth="10" defaultColWidth="8.85546875" defaultRowHeight="15" x14ac:dyDescent="0.25"/>
  <cols>
    <col min="2" max="2" width="11.7109375" bestFit="1" customWidth="1"/>
    <col min="4" max="4" width="10.140625" bestFit="1" customWidth="1"/>
    <col min="5" max="5" width="10.140625" customWidth="1"/>
    <col min="6" max="6" width="10.28515625" customWidth="1"/>
    <col min="8" max="8" width="9.28515625" bestFit="1" customWidth="1"/>
    <col min="9" max="9" width="13.28515625" bestFit="1" customWidth="1"/>
    <col min="10" max="10" width="10.7109375" bestFit="1" customWidth="1"/>
    <col min="11" max="11" width="12.5703125" bestFit="1" customWidth="1"/>
    <col min="13" max="13" width="5.85546875" bestFit="1" customWidth="1"/>
  </cols>
  <sheetData>
    <row r="1" spans="1:26" x14ac:dyDescent="0.25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6" s="1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</row>
    <row r="3" spans="1:26" x14ac:dyDescent="0.25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2</v>
      </c>
      <c r="N3">
        <v>2</v>
      </c>
      <c r="O3">
        <v>2</v>
      </c>
      <c r="P3">
        <v>2</v>
      </c>
      <c r="Q3">
        <v>0.5</v>
      </c>
      <c r="R3">
        <v>2</v>
      </c>
      <c r="S3">
        <v>10</v>
      </c>
      <c r="T3">
        <v>10</v>
      </c>
      <c r="U3">
        <v>20</v>
      </c>
      <c r="V3">
        <v>1</v>
      </c>
      <c r="W3">
        <v>18</v>
      </c>
      <c r="X3">
        <v>12</v>
      </c>
      <c r="Y3">
        <v>2.5</v>
      </c>
      <c r="Z3">
        <v>1</v>
      </c>
    </row>
    <row r="7" spans="1:26" x14ac:dyDescent="0.25">
      <c r="A7" s="3" t="s">
        <v>8</v>
      </c>
      <c r="B7" s="3" t="s">
        <v>72</v>
      </c>
      <c r="C7" s="3" t="s">
        <v>58</v>
      </c>
      <c r="D7" s="3" t="s">
        <v>59</v>
      </c>
      <c r="E7" s="3" t="s">
        <v>60</v>
      </c>
      <c r="F7" s="3" t="s">
        <v>61</v>
      </c>
      <c r="G7" s="3" t="s">
        <v>73</v>
      </c>
      <c r="H7" s="3" t="s">
        <v>57</v>
      </c>
      <c r="I7" s="3"/>
      <c r="J7" s="3"/>
      <c r="K7" s="3"/>
    </row>
    <row r="8" spans="1:26" x14ac:dyDescent="0.25">
      <c r="A8" s="4">
        <v>1E-8</v>
      </c>
      <c r="B8">
        <f>CAN!$B$12</f>
        <v>44.262323104416936</v>
      </c>
      <c r="C8">
        <f>Buck!$B$12</f>
        <v>102.75182149239646</v>
      </c>
      <c r="D8">
        <f>ModulosTrifasica!B12</f>
        <v>822.64689084066345</v>
      </c>
      <c r="E8">
        <v>240</v>
      </c>
      <c r="F8">
        <v>240</v>
      </c>
      <c r="G8">
        <f>DiffDrivers!B12</f>
        <v>30.288075381451019</v>
      </c>
      <c r="H8">
        <f>Flyback!$B$12</f>
        <v>248.71210125339041</v>
      </c>
    </row>
    <row r="12" spans="1:26" x14ac:dyDescent="0.25">
      <c r="A12" s="7" t="s">
        <v>33</v>
      </c>
      <c r="B12">
        <f>SUM(E8:H8)+SUM(B8:C8)+2*D8/3</f>
        <v>1454.4455817920971</v>
      </c>
    </row>
    <row r="13" spans="1:26" x14ac:dyDescent="0.25">
      <c r="A13" s="7" t="s">
        <v>62</v>
      </c>
      <c r="B13">
        <f>1/(B12*10^(-9))</f>
        <v>687547.20872254879</v>
      </c>
    </row>
    <row r="14" spans="1:26" x14ac:dyDescent="0.25">
      <c r="A14" s="7" t="s">
        <v>63</v>
      </c>
      <c r="B14">
        <f>B13/3600</f>
        <v>190.98533575626357</v>
      </c>
    </row>
    <row r="15" spans="1:26" x14ac:dyDescent="0.25">
      <c r="A15" s="7" t="s">
        <v>64</v>
      </c>
      <c r="B15">
        <f>B14/31</f>
        <v>6.1608172824601146</v>
      </c>
    </row>
    <row r="16" spans="1:26" x14ac:dyDescent="0.25">
      <c r="A16" s="7" t="s">
        <v>65</v>
      </c>
      <c r="B16">
        <f>B15/12</f>
        <v>0.51340144020500955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5390-FCFE-4F44-96A7-EFFCC7AF506B}">
  <dimension ref="A1:Z16"/>
  <sheetViews>
    <sheetView workbookViewId="0">
      <selection activeCell="B15" sqref="B15"/>
    </sheetView>
  </sheetViews>
  <sheetFormatPr baseColWidth="10" defaultColWidth="8.85546875" defaultRowHeight="15" x14ac:dyDescent="0.25"/>
  <cols>
    <col min="2" max="2" width="11.7109375" bestFit="1" customWidth="1"/>
    <col min="4" max="4" width="10.140625" bestFit="1" customWidth="1"/>
    <col min="5" max="5" width="10.140625" customWidth="1"/>
    <col min="6" max="6" width="10.28515625" customWidth="1"/>
    <col min="9" max="9" width="13.28515625" bestFit="1" customWidth="1"/>
    <col min="10" max="10" width="10.7109375" bestFit="1" customWidth="1"/>
    <col min="11" max="11" width="12.5703125" bestFit="1" customWidth="1"/>
    <col min="13" max="13" width="5.85546875" bestFit="1" customWidth="1"/>
  </cols>
  <sheetData>
    <row r="1" spans="1:26" x14ac:dyDescent="0.25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6" s="1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</row>
    <row r="3" spans="1:26" x14ac:dyDescent="0.25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2</v>
      </c>
      <c r="N3">
        <v>2</v>
      </c>
      <c r="O3">
        <v>2</v>
      </c>
      <c r="P3">
        <v>2</v>
      </c>
      <c r="Q3">
        <v>0.5</v>
      </c>
      <c r="R3">
        <v>2</v>
      </c>
      <c r="S3">
        <v>10</v>
      </c>
      <c r="T3">
        <v>10</v>
      </c>
      <c r="U3">
        <v>20</v>
      </c>
      <c r="V3">
        <v>1</v>
      </c>
      <c r="W3">
        <v>18</v>
      </c>
      <c r="X3">
        <v>12</v>
      </c>
      <c r="Y3">
        <v>2.5</v>
      </c>
      <c r="Z3">
        <v>1</v>
      </c>
    </row>
    <row r="7" spans="1:26" x14ac:dyDescent="0.25">
      <c r="A7" s="3" t="s">
        <v>8</v>
      </c>
      <c r="B7" s="3" t="s">
        <v>57</v>
      </c>
      <c r="C7" s="3" t="s">
        <v>58</v>
      </c>
      <c r="D7" s="3" t="s">
        <v>59</v>
      </c>
      <c r="E7" s="3" t="s">
        <v>60</v>
      </c>
      <c r="F7" s="3" t="s">
        <v>73</v>
      </c>
      <c r="G7" s="3"/>
      <c r="H7" s="3"/>
      <c r="I7" s="3"/>
      <c r="J7" s="3"/>
      <c r="K7" s="3"/>
    </row>
    <row r="8" spans="1:26" x14ac:dyDescent="0.25">
      <c r="A8" s="4">
        <v>1E-8</v>
      </c>
      <c r="B8">
        <f>Flyback!$B$12</f>
        <v>248.71210125339041</v>
      </c>
      <c r="C8">
        <f>Buck!$B$12</f>
        <v>102.75182149239646</v>
      </c>
      <c r="D8">
        <f>ModulosTrifasica!B12</f>
        <v>822.64689084066345</v>
      </c>
      <c r="E8">
        <v>240</v>
      </c>
      <c r="F8">
        <f>DiffDrivers!B12</f>
        <v>30.288075381451019</v>
      </c>
    </row>
    <row r="12" spans="1:26" x14ac:dyDescent="0.25">
      <c r="A12" s="7" t="s">
        <v>33</v>
      </c>
      <c r="B12">
        <f>SUM(B8:F8)</f>
        <v>1444.3988889679015</v>
      </c>
    </row>
    <row r="13" spans="1:26" x14ac:dyDescent="0.25">
      <c r="A13" s="7" t="s">
        <v>62</v>
      </c>
      <c r="B13">
        <f>1/(B12*10^(-9))</f>
        <v>692329.52727798908</v>
      </c>
    </row>
    <row r="14" spans="1:26" x14ac:dyDescent="0.25">
      <c r="A14" s="7" t="s">
        <v>63</v>
      </c>
      <c r="B14">
        <f>B13/3600</f>
        <v>192.31375757721918</v>
      </c>
    </row>
    <row r="15" spans="1:26" x14ac:dyDescent="0.25">
      <c r="A15" s="7" t="s">
        <v>64</v>
      </c>
      <c r="B15">
        <f>B14/31</f>
        <v>6.2036695992651349</v>
      </c>
    </row>
    <row r="16" spans="1:26" x14ac:dyDescent="0.25">
      <c r="A16" s="7" t="s">
        <v>65</v>
      </c>
      <c r="B16">
        <f>B15/12</f>
        <v>0.51697246660542795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1671-8C54-4604-B579-B1C048167AB8}">
  <dimension ref="A1:AA16"/>
  <sheetViews>
    <sheetView workbookViewId="0">
      <selection activeCell="G15" sqref="G15"/>
    </sheetView>
  </sheetViews>
  <sheetFormatPr baseColWidth="10" defaultColWidth="8.85546875" defaultRowHeight="15" x14ac:dyDescent="0.25"/>
  <cols>
    <col min="2" max="2" width="11.7109375" bestFit="1" customWidth="1"/>
    <col min="4" max="4" width="10.140625" bestFit="1" customWidth="1"/>
    <col min="5" max="5" width="10.140625" customWidth="1"/>
    <col min="6" max="6" width="10.28515625" customWidth="1"/>
    <col min="9" max="9" width="13.28515625" bestFit="1" customWidth="1"/>
    <col min="10" max="10" width="10.7109375" bestFit="1" customWidth="1"/>
    <col min="11" max="11" width="12.5703125" bestFit="1" customWidth="1"/>
    <col min="13" max="13" width="6.140625" bestFit="1" customWidth="1"/>
  </cols>
  <sheetData>
    <row r="1" spans="1:27" x14ac:dyDescent="0.25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7" s="1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  <c r="AA2" s="3" t="s">
        <v>67</v>
      </c>
    </row>
    <row r="3" spans="1:27" x14ac:dyDescent="0.25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2</v>
      </c>
      <c r="N3">
        <v>2</v>
      </c>
      <c r="O3">
        <v>2</v>
      </c>
      <c r="P3">
        <v>2</v>
      </c>
      <c r="Q3">
        <v>0.5</v>
      </c>
      <c r="R3">
        <v>2</v>
      </c>
      <c r="S3">
        <v>10</v>
      </c>
      <c r="T3">
        <v>10</v>
      </c>
      <c r="U3">
        <v>20</v>
      </c>
      <c r="V3">
        <v>1</v>
      </c>
      <c r="W3">
        <v>18</v>
      </c>
      <c r="X3">
        <v>12</v>
      </c>
      <c r="Y3">
        <v>2.5</v>
      </c>
      <c r="Z3">
        <v>1</v>
      </c>
      <c r="AA3">
        <v>0.37</v>
      </c>
    </row>
    <row r="6" spans="1:27" x14ac:dyDescent="0.25">
      <c r="M6" s="7" t="s">
        <v>69</v>
      </c>
    </row>
    <row r="7" spans="1:27" x14ac:dyDescent="0.25">
      <c r="A7" s="3" t="s">
        <v>8</v>
      </c>
      <c r="B7" s="3"/>
      <c r="C7" s="3" t="s">
        <v>22</v>
      </c>
      <c r="D7" s="3" t="s">
        <v>27</v>
      </c>
      <c r="E7" s="3" t="s">
        <v>66</v>
      </c>
      <c r="F7" s="3" t="s">
        <v>68</v>
      </c>
      <c r="G7" s="3"/>
      <c r="H7" s="3"/>
      <c r="I7" s="3"/>
      <c r="J7" s="3"/>
      <c r="K7" s="3"/>
      <c r="M7">
        <v>10</v>
      </c>
    </row>
    <row r="8" spans="1:27" x14ac:dyDescent="0.25">
      <c r="A8" s="4">
        <v>1E-8</v>
      </c>
      <c r="C8">
        <f>N3*$L$3*J3*$I$3*A3</f>
        <v>6.3231890149167054</v>
      </c>
      <c r="D8">
        <f>V3*$L$3*C3*$I$3</f>
        <v>2.1077296716389018</v>
      </c>
      <c r="E8">
        <f>AA3*$L$3*D3*$I$3</f>
        <v>0.77985997850639366</v>
      </c>
      <c r="F8">
        <f>M7*$L$3*D3*$I$3</f>
        <v>21.077296716389018</v>
      </c>
    </row>
    <row r="12" spans="1:27" x14ac:dyDescent="0.25">
      <c r="A12" s="7" t="s">
        <v>33</v>
      </c>
      <c r="B12">
        <f>SUM(C8:F8)</f>
        <v>30.288075381451019</v>
      </c>
    </row>
    <row r="13" spans="1:27" x14ac:dyDescent="0.25">
      <c r="A13" s="7" t="s">
        <v>62</v>
      </c>
      <c r="B13">
        <f>1/(B12*10^(-9))</f>
        <v>33016293.950866837</v>
      </c>
    </row>
    <row r="14" spans="1:27" x14ac:dyDescent="0.25">
      <c r="A14" s="7" t="s">
        <v>63</v>
      </c>
      <c r="B14">
        <f>B13/3600</f>
        <v>9171.192764129677</v>
      </c>
    </row>
    <row r="15" spans="1:27" x14ac:dyDescent="0.25">
      <c r="A15" s="7" t="s">
        <v>64</v>
      </c>
      <c r="B15">
        <f>B14/31</f>
        <v>295.84492787515086</v>
      </c>
    </row>
    <row r="16" spans="1:27" x14ac:dyDescent="0.25">
      <c r="A16" s="7" t="s">
        <v>65</v>
      </c>
      <c r="B16">
        <f>B15/12</f>
        <v>24.653743989595906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C31-4AC9-45F3-9922-664C699D174A}">
  <dimension ref="A1:AA16"/>
  <sheetViews>
    <sheetView workbookViewId="0">
      <selection activeCell="M3" sqref="M3:P3"/>
    </sheetView>
  </sheetViews>
  <sheetFormatPr baseColWidth="10" defaultColWidth="8.85546875" defaultRowHeight="15" x14ac:dyDescent="0.25"/>
  <cols>
    <col min="2" max="2" width="11.7109375" bestFit="1" customWidth="1"/>
    <col min="4" max="4" width="10.140625" bestFit="1" customWidth="1"/>
    <col min="5" max="5" width="10.140625" customWidth="1"/>
    <col min="6" max="6" width="10.28515625" customWidth="1"/>
    <col min="9" max="9" width="13.28515625" bestFit="1" customWidth="1"/>
    <col min="10" max="10" width="10.7109375" bestFit="1" customWidth="1"/>
    <col min="11" max="11" width="12.5703125" bestFit="1" customWidth="1"/>
    <col min="13" max="13" width="6.140625" bestFit="1" customWidth="1"/>
  </cols>
  <sheetData>
    <row r="1" spans="1:27" x14ac:dyDescent="0.25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7" s="1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  <c r="AA2" s="3" t="s">
        <v>67</v>
      </c>
    </row>
    <row r="3" spans="1:27" x14ac:dyDescent="0.25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2</v>
      </c>
      <c r="N3">
        <v>2</v>
      </c>
      <c r="O3">
        <v>2</v>
      </c>
      <c r="P3">
        <v>2</v>
      </c>
      <c r="Q3">
        <v>0.5</v>
      </c>
      <c r="R3">
        <v>2</v>
      </c>
      <c r="S3">
        <v>10</v>
      </c>
      <c r="T3">
        <v>10</v>
      </c>
      <c r="U3">
        <v>20</v>
      </c>
      <c r="V3">
        <v>1</v>
      </c>
      <c r="W3">
        <v>18</v>
      </c>
      <c r="X3">
        <v>12</v>
      </c>
      <c r="Y3">
        <v>2.5</v>
      </c>
      <c r="Z3">
        <v>1</v>
      </c>
      <c r="AA3">
        <v>0.37</v>
      </c>
    </row>
    <row r="6" spans="1:27" x14ac:dyDescent="0.25">
      <c r="M6" s="7" t="s">
        <v>69</v>
      </c>
      <c r="N6" s="7" t="s">
        <v>71</v>
      </c>
    </row>
    <row r="7" spans="1:27" x14ac:dyDescent="0.25">
      <c r="A7" s="3" t="s">
        <v>8</v>
      </c>
      <c r="B7" s="3"/>
      <c r="C7" s="3" t="s">
        <v>22</v>
      </c>
      <c r="D7" s="3" t="s">
        <v>27</v>
      </c>
      <c r="E7" s="3" t="s">
        <v>66</v>
      </c>
      <c r="F7" s="3" t="s">
        <v>70</v>
      </c>
      <c r="G7" s="3"/>
      <c r="H7" s="3"/>
      <c r="I7" s="3"/>
      <c r="J7" s="3"/>
      <c r="K7" s="3"/>
      <c r="M7">
        <v>10</v>
      </c>
      <c r="N7">
        <v>10</v>
      </c>
    </row>
    <row r="8" spans="1:27" x14ac:dyDescent="0.25">
      <c r="A8" s="4">
        <v>1E-8</v>
      </c>
      <c r="C8">
        <f>N3*$L$3*J3*$I$3*A3</f>
        <v>6.3231890149167054</v>
      </c>
      <c r="D8">
        <f>V3*$L$3*C3*$I$3</f>
        <v>2.1077296716389018</v>
      </c>
      <c r="E8">
        <f>AA3*$L$3*D3*$I$3</f>
        <v>0.77985997850639366</v>
      </c>
      <c r="F8">
        <f>N7*$L$3*D3*$I$3</f>
        <v>21.077296716389018</v>
      </c>
    </row>
    <row r="12" spans="1:27" x14ac:dyDescent="0.25">
      <c r="A12" s="7" t="s">
        <v>33</v>
      </c>
      <c r="B12">
        <f>(5*D8+2*C8+F8)</f>
        <v>44.262323104416936</v>
      </c>
    </row>
    <row r="13" spans="1:27" x14ac:dyDescent="0.25">
      <c r="A13" s="7" t="s">
        <v>62</v>
      </c>
      <c r="B13">
        <f>1/(B12*10^(-9))</f>
        <v>22592578.28923602</v>
      </c>
    </row>
    <row r="14" spans="1:27" x14ac:dyDescent="0.25">
      <c r="A14" s="7" t="s">
        <v>63</v>
      </c>
      <c r="B14">
        <f>B13/3600</f>
        <v>6275.7161914544504</v>
      </c>
    </row>
    <row r="15" spans="1:27" x14ac:dyDescent="0.25">
      <c r="A15" s="7" t="s">
        <v>64</v>
      </c>
      <c r="B15">
        <f>B14/31</f>
        <v>202.44245778885323</v>
      </c>
    </row>
    <row r="16" spans="1:27" x14ac:dyDescent="0.25">
      <c r="A16" s="7" t="s">
        <v>65</v>
      </c>
      <c r="B16">
        <f>B15/12</f>
        <v>16.870204815737768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1920-EFB6-426C-8A89-7AB4C085100D}">
  <dimension ref="A1:Z16"/>
  <sheetViews>
    <sheetView workbookViewId="0">
      <selection activeCell="J16" sqref="J16"/>
    </sheetView>
  </sheetViews>
  <sheetFormatPr baseColWidth="10" defaultColWidth="8.85546875" defaultRowHeight="15" x14ac:dyDescent="0.25"/>
  <cols>
    <col min="5" max="5" width="10.140625" customWidth="1"/>
    <col min="6" max="6" width="10.28515625" customWidth="1"/>
    <col min="9" max="9" width="13.28515625" bestFit="1" customWidth="1"/>
    <col min="10" max="10" width="10.7109375" bestFit="1" customWidth="1"/>
    <col min="11" max="11" width="12.5703125" bestFit="1" customWidth="1"/>
    <col min="13" max="13" width="5.85546875" bestFit="1" customWidth="1"/>
  </cols>
  <sheetData>
    <row r="1" spans="1:26" x14ac:dyDescent="0.25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6" s="1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 t="s">
        <v>31</v>
      </c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</row>
    <row r="3" spans="1:26" x14ac:dyDescent="0.25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2</v>
      </c>
      <c r="N3">
        <v>2</v>
      </c>
      <c r="O3">
        <v>2</v>
      </c>
      <c r="P3">
        <v>2</v>
      </c>
      <c r="Q3">
        <v>0.5</v>
      </c>
      <c r="R3">
        <v>2</v>
      </c>
      <c r="S3">
        <v>10</v>
      </c>
      <c r="T3">
        <v>10</v>
      </c>
      <c r="U3">
        <v>20</v>
      </c>
      <c r="V3">
        <v>1</v>
      </c>
      <c r="W3">
        <v>18</v>
      </c>
      <c r="X3">
        <v>12</v>
      </c>
      <c r="Y3">
        <v>2.5</v>
      </c>
      <c r="Z3">
        <v>1</v>
      </c>
    </row>
    <row r="7" spans="1:26" x14ac:dyDescent="0.25">
      <c r="A7" s="3" t="s">
        <v>8</v>
      </c>
      <c r="B7" s="3" t="s">
        <v>50</v>
      </c>
      <c r="C7" s="3"/>
      <c r="D7" s="3"/>
      <c r="E7" s="3" t="s">
        <v>54</v>
      </c>
      <c r="F7" s="3" t="s">
        <v>55</v>
      </c>
      <c r="G7" s="3" t="s">
        <v>51</v>
      </c>
      <c r="H7" s="3"/>
      <c r="I7" s="3" t="s">
        <v>52</v>
      </c>
      <c r="J7" s="3" t="s">
        <v>53</v>
      </c>
      <c r="K7" s="3"/>
    </row>
    <row r="8" spans="1:26" x14ac:dyDescent="0.25">
      <c r="A8" s="4">
        <v>1E-8</v>
      </c>
      <c r="B8">
        <f>M3*$L$3*J3*$I$3*A3</f>
        <v>6.3231890149167054</v>
      </c>
      <c r="E8">
        <f>W3*$L$3*H3*$I$3*C3*K3</f>
        <v>132.78696931325078</v>
      </c>
      <c r="F8">
        <f>Z3*$L$3*H3*$I$3*D3*K3</f>
        <v>7.3770538507361554</v>
      </c>
      <c r="G8">
        <f>V3*$L$3*J3*$I$3*C3</f>
        <v>3.1615945074583527</v>
      </c>
      <c r="I8">
        <f>$S$3*$L$3*$J$3*$I$3*$D$3</f>
        <v>31.615945074583529</v>
      </c>
      <c r="J8">
        <f>$U$3*$L$3*$J$3*$I$3*$D$3</f>
        <v>63.231890149167057</v>
      </c>
    </row>
    <row r="12" spans="1:26" x14ac:dyDescent="0.25">
      <c r="A12" s="7" t="s">
        <v>33</v>
      </c>
      <c r="B12">
        <f>(12*B8+12*G8+I8+14*F8)</f>
        <v>248.71210125339041</v>
      </c>
    </row>
    <row r="13" spans="1:26" x14ac:dyDescent="0.25">
      <c r="A13" s="7" t="s">
        <v>34</v>
      </c>
      <c r="B13">
        <f>1/(B12*10^(-9))</f>
        <v>4020713.0853725118</v>
      </c>
    </row>
    <row r="14" spans="1:26" x14ac:dyDescent="0.25">
      <c r="A14" s="7" t="s">
        <v>35</v>
      </c>
      <c r="B14">
        <f>B13/3600</f>
        <v>1116.8647459368087</v>
      </c>
    </row>
    <row r="15" spans="1:26" x14ac:dyDescent="0.25">
      <c r="A15" s="7" t="s">
        <v>36</v>
      </c>
      <c r="B15">
        <f>B14/31</f>
        <v>36.027895030219639</v>
      </c>
    </row>
    <row r="16" spans="1:26" x14ac:dyDescent="0.25">
      <c r="A16" s="7" t="s">
        <v>37</v>
      </c>
      <c r="B16">
        <f>B15/12</f>
        <v>3.0023245858516368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F466-4126-4850-9B00-B4D776A2A6D6}">
  <dimension ref="A1:U16"/>
  <sheetViews>
    <sheetView workbookViewId="0">
      <selection activeCell="S4" sqref="S4"/>
    </sheetView>
  </sheetViews>
  <sheetFormatPr baseColWidth="10" defaultColWidth="8.85546875" defaultRowHeight="15" x14ac:dyDescent="0.25"/>
  <cols>
    <col min="5" max="5" width="10.140625" customWidth="1"/>
    <col min="6" max="6" width="10.28515625" customWidth="1"/>
    <col min="9" max="9" width="8.7109375" bestFit="1" customWidth="1"/>
    <col min="10" max="10" width="10.7109375" bestFit="1" customWidth="1"/>
    <col min="11" max="11" width="11" bestFit="1" customWidth="1"/>
    <col min="13" max="13" width="5.85546875" bestFit="1" customWidth="1"/>
  </cols>
  <sheetData>
    <row r="1" spans="1:21" x14ac:dyDescent="0.25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</row>
    <row r="2" spans="1:21" s="1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1" t="s">
        <v>15</v>
      </c>
      <c r="N2" s="1" t="s">
        <v>16</v>
      </c>
      <c r="O2" s="1" t="s">
        <v>17</v>
      </c>
      <c r="P2" s="1" t="s">
        <v>21</v>
      </c>
      <c r="Q2" s="1" t="s">
        <v>31</v>
      </c>
      <c r="R2" s="1" t="s">
        <v>20</v>
      </c>
      <c r="S2" s="1" t="s">
        <v>19</v>
      </c>
      <c r="T2" s="1" t="s">
        <v>18</v>
      </c>
      <c r="U2" s="1" t="s">
        <v>32</v>
      </c>
    </row>
    <row r="3" spans="1:21" x14ac:dyDescent="0.25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2</v>
      </c>
      <c r="N3">
        <v>2</v>
      </c>
      <c r="O3">
        <v>2</v>
      </c>
      <c r="P3">
        <v>2</v>
      </c>
      <c r="Q3">
        <v>0.5</v>
      </c>
      <c r="R3">
        <v>2</v>
      </c>
      <c r="S3">
        <v>12</v>
      </c>
      <c r="T3">
        <v>10</v>
      </c>
      <c r="U3">
        <v>1</v>
      </c>
    </row>
    <row r="7" spans="1:21" x14ac:dyDescent="0.25">
      <c r="A7" s="3" t="s">
        <v>8</v>
      </c>
      <c r="B7" s="3" t="s">
        <v>22</v>
      </c>
      <c r="C7" s="3" t="s">
        <v>23</v>
      </c>
      <c r="D7" s="3" t="s">
        <v>24</v>
      </c>
      <c r="E7" s="3" t="s">
        <v>25</v>
      </c>
      <c r="F7" s="3" t="s">
        <v>26</v>
      </c>
      <c r="G7" s="3" t="s">
        <v>27</v>
      </c>
      <c r="H7" s="3" t="s">
        <v>28</v>
      </c>
      <c r="I7" s="3" t="s">
        <v>29</v>
      </c>
      <c r="J7" s="3" t="s">
        <v>30</v>
      </c>
    </row>
    <row r="8" spans="1:21" x14ac:dyDescent="0.25">
      <c r="A8" s="4">
        <v>1E-8</v>
      </c>
      <c r="B8">
        <f>M3*$L$3*J3*$I$3*A3</f>
        <v>6.3231890149167054</v>
      </c>
      <c r="C8">
        <f>N3*$L$3*J3*$I$3*A3</f>
        <v>6.3231890149167054</v>
      </c>
      <c r="D8">
        <f>O3*$L$3*J3*$I$3*A3</f>
        <v>6.3231890149167054</v>
      </c>
      <c r="E8">
        <f>P3*$L$3*J3*$I$3*A3</f>
        <v>6.3231890149167054</v>
      </c>
      <c r="F8">
        <f>Q3*$L$3*J3*$I$3*B3</f>
        <v>1.5807972537291763</v>
      </c>
      <c r="G8">
        <f>U3*$L$3*J3*$I$3*C3</f>
        <v>3.1615945074583527</v>
      </c>
      <c r="H8">
        <f>$U$3*$L$3*$J$3*$I$3*D3</f>
        <v>3.1615945074583527</v>
      </c>
      <c r="I8">
        <f>$S$3*$L$3*$J$3*$I$3*$D$3</f>
        <v>37.939134089500229</v>
      </c>
      <c r="J8">
        <f>$T$3*$L$3*$J$3*$I$3*$D$3</f>
        <v>31.615945074583529</v>
      </c>
    </row>
    <row r="12" spans="1:21" x14ac:dyDescent="0.25">
      <c r="A12" s="7" t="s">
        <v>33</v>
      </c>
      <c r="B12">
        <f>B8+C8+I8+D8+E8+F8+G8+H8+J8</f>
        <v>102.75182149239646</v>
      </c>
    </row>
    <row r="13" spans="1:21" x14ac:dyDescent="0.25">
      <c r="A13" s="7" t="s">
        <v>34</v>
      </c>
      <c r="B13">
        <f>1/(B12*10^(-9))</f>
        <v>9732187.5707478244</v>
      </c>
    </row>
    <row r="14" spans="1:21" x14ac:dyDescent="0.25">
      <c r="A14" s="7" t="s">
        <v>35</v>
      </c>
      <c r="B14">
        <f>B13/3600</f>
        <v>2703.3854363188402</v>
      </c>
    </row>
    <row r="15" spans="1:21" x14ac:dyDescent="0.25">
      <c r="A15" s="7" t="s">
        <v>36</v>
      </c>
      <c r="B15">
        <f>B14/31</f>
        <v>87.205981816736781</v>
      </c>
    </row>
    <row r="16" spans="1:21" x14ac:dyDescent="0.25">
      <c r="A16" s="7" t="s">
        <v>37</v>
      </c>
      <c r="B16">
        <f>B15/12</f>
        <v>7.2671651513947317</v>
      </c>
    </row>
  </sheetData>
  <mergeCells count="4">
    <mergeCell ref="A1:D1"/>
    <mergeCell ref="E1:H1"/>
    <mergeCell ref="J1:K1"/>
    <mergeCell ref="M1:U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5AFC-47F7-4844-B3E0-223C0B0F5040}">
  <dimension ref="A1:V16"/>
  <sheetViews>
    <sheetView workbookViewId="0">
      <selection activeCell="K26" sqref="K26"/>
    </sheetView>
  </sheetViews>
  <sheetFormatPr baseColWidth="10" defaultColWidth="8.85546875" defaultRowHeight="15" x14ac:dyDescent="0.25"/>
  <cols>
    <col min="5" max="5" width="10.140625" customWidth="1"/>
    <col min="6" max="6" width="10.28515625" customWidth="1"/>
    <col min="9" max="9" width="12" bestFit="1" customWidth="1"/>
    <col min="10" max="10" width="10.7109375" bestFit="1" customWidth="1"/>
    <col min="11" max="11" width="12.5703125" bestFit="1" customWidth="1"/>
    <col min="13" max="13" width="5.85546875" bestFit="1" customWidth="1"/>
  </cols>
  <sheetData>
    <row r="1" spans="1:22" x14ac:dyDescent="0.25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2" s="1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1" t="s">
        <v>15</v>
      </c>
      <c r="N2" s="1" t="s">
        <v>16</v>
      </c>
      <c r="O2" s="1" t="s">
        <v>46</v>
      </c>
      <c r="P2" s="1" t="s">
        <v>21</v>
      </c>
      <c r="Q2" s="1" t="s">
        <v>31</v>
      </c>
      <c r="R2" s="1" t="s">
        <v>20</v>
      </c>
      <c r="S2" s="1" t="s">
        <v>42</v>
      </c>
      <c r="T2" s="1" t="s">
        <v>44</v>
      </c>
      <c r="U2" s="1" t="s">
        <v>43</v>
      </c>
      <c r="V2" s="1" t="s">
        <v>32</v>
      </c>
    </row>
    <row r="3" spans="1:22" x14ac:dyDescent="0.25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2</v>
      </c>
      <c r="N3">
        <v>2</v>
      </c>
      <c r="O3">
        <v>2</v>
      </c>
      <c r="P3">
        <v>2</v>
      </c>
      <c r="Q3">
        <v>0.5</v>
      </c>
      <c r="R3">
        <v>2</v>
      </c>
      <c r="S3">
        <v>10</v>
      </c>
      <c r="T3">
        <v>10</v>
      </c>
      <c r="U3">
        <v>20</v>
      </c>
      <c r="V3">
        <v>1</v>
      </c>
    </row>
    <row r="7" spans="1:22" x14ac:dyDescent="0.25">
      <c r="A7" s="3" t="s">
        <v>8</v>
      </c>
      <c r="B7" s="3" t="s">
        <v>22</v>
      </c>
      <c r="C7" s="3" t="s">
        <v>23</v>
      </c>
      <c r="D7" s="3" t="s">
        <v>45</v>
      </c>
      <c r="E7" s="3" t="s">
        <v>25</v>
      </c>
      <c r="F7" s="3"/>
      <c r="G7" s="3" t="s">
        <v>38</v>
      </c>
      <c r="H7" s="3"/>
      <c r="I7" s="3" t="s">
        <v>39</v>
      </c>
      <c r="J7" s="3" t="s">
        <v>40</v>
      </c>
      <c r="K7" s="3" t="s">
        <v>41</v>
      </c>
    </row>
    <row r="8" spans="1:22" x14ac:dyDescent="0.25">
      <c r="A8" s="4">
        <v>1E-8</v>
      </c>
      <c r="B8">
        <f>M3*$L$3*J3*$I$3*A3</f>
        <v>6.3231890149167054</v>
      </c>
      <c r="C8">
        <f>N3*$L$3*J3*$I$3*A3</f>
        <v>6.3231890149167054</v>
      </c>
      <c r="D8">
        <f>O3*$L$3*J3*$I$3*A3</f>
        <v>6.3231890149167054</v>
      </c>
      <c r="E8">
        <f>P3*$L$3*J3*$I$3*A3</f>
        <v>6.3231890149167054</v>
      </c>
      <c r="G8">
        <f>V3*$L$3*J3*$I$3*C3</f>
        <v>3.1615945074583527</v>
      </c>
      <c r="I8">
        <f>$S$3*$L$3*$J$3*$I$3*$D$3</f>
        <v>31.615945074583529</v>
      </c>
      <c r="J8">
        <f>$U$3*$L$3*$J$3*$I$3*$D$3</f>
        <v>63.231890149167057</v>
      </c>
      <c r="K8">
        <f>U$3*$L$3*$J$3*$I$3*$D$3</f>
        <v>63.231890149167057</v>
      </c>
    </row>
    <row r="12" spans="1:22" x14ac:dyDescent="0.25">
      <c r="A12" s="7" t="s">
        <v>33</v>
      </c>
      <c r="B12">
        <f>(10*B8+2*I8+2*J8+2*G8+2*K8)</f>
        <v>385.71452990991907</v>
      </c>
    </row>
    <row r="13" spans="1:22" x14ac:dyDescent="0.25">
      <c r="A13" s="7" t="s">
        <v>34</v>
      </c>
      <c r="B13">
        <f>1/(B12*10^(-9))</f>
        <v>2592590.9512238051</v>
      </c>
    </row>
    <row r="14" spans="1:22" x14ac:dyDescent="0.25">
      <c r="A14" s="7" t="s">
        <v>35</v>
      </c>
      <c r="B14">
        <f>B13/3600</f>
        <v>720.16415311772369</v>
      </c>
    </row>
    <row r="15" spans="1:22" x14ac:dyDescent="0.25">
      <c r="A15" s="7" t="s">
        <v>36</v>
      </c>
      <c r="B15">
        <f>B14/31</f>
        <v>23.231101713474956</v>
      </c>
    </row>
    <row r="16" spans="1:22" x14ac:dyDescent="0.25">
      <c r="A16" s="7" t="s">
        <v>37</v>
      </c>
      <c r="B16">
        <f>B15/12</f>
        <v>1.9359251427895796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0BEA-6801-4FF3-AB03-1E6E1E16D5C5}">
  <dimension ref="A1:AA16"/>
  <sheetViews>
    <sheetView topLeftCell="A2" workbookViewId="0">
      <selection activeCell="K37" sqref="K37"/>
    </sheetView>
  </sheetViews>
  <sheetFormatPr baseColWidth="10" defaultColWidth="8.85546875" defaultRowHeight="15" x14ac:dyDescent="0.25"/>
  <cols>
    <col min="5" max="5" width="10.140625" customWidth="1"/>
    <col min="6" max="6" width="10.28515625" customWidth="1"/>
    <col min="9" max="9" width="13.28515625" bestFit="1" customWidth="1"/>
    <col min="10" max="10" width="10.7109375" bestFit="1" customWidth="1"/>
    <col min="11" max="11" width="12.5703125" bestFit="1" customWidth="1"/>
    <col min="13" max="13" width="5.85546875" bestFit="1" customWidth="1"/>
  </cols>
  <sheetData>
    <row r="1" spans="1:27" x14ac:dyDescent="0.25">
      <c r="A1" s="8" t="s">
        <v>12</v>
      </c>
      <c r="B1" s="8"/>
      <c r="C1" s="8"/>
      <c r="D1" s="8"/>
      <c r="E1" s="8" t="s">
        <v>13</v>
      </c>
      <c r="F1" s="8"/>
      <c r="G1" s="8"/>
      <c r="H1" s="8"/>
      <c r="I1" s="2" t="s">
        <v>5</v>
      </c>
      <c r="J1" s="8" t="s">
        <v>7</v>
      </c>
      <c r="K1" s="8"/>
      <c r="L1" s="2" t="s">
        <v>9</v>
      </c>
      <c r="M1" s="9" t="s">
        <v>14</v>
      </c>
      <c r="N1" s="9"/>
      <c r="O1" s="9"/>
      <c r="P1" s="9"/>
      <c r="Q1" s="9"/>
      <c r="R1" s="9"/>
      <c r="S1" s="9"/>
      <c r="T1" s="9"/>
      <c r="U1" s="9"/>
      <c r="V1" s="9"/>
    </row>
    <row r="2" spans="1:27" s="1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0</v>
      </c>
      <c r="F2" s="3" t="s">
        <v>1</v>
      </c>
      <c r="G2" s="3" t="s">
        <v>2</v>
      </c>
      <c r="H2" s="3" t="s">
        <v>4</v>
      </c>
      <c r="I2" s="3" t="s">
        <v>6</v>
      </c>
      <c r="J2" s="3" t="s">
        <v>10</v>
      </c>
      <c r="K2" s="3" t="s">
        <v>11</v>
      </c>
      <c r="L2" s="3" t="s">
        <v>6</v>
      </c>
      <c r="M2" s="7" t="s">
        <v>15</v>
      </c>
      <c r="N2" s="7" t="s">
        <v>16</v>
      </c>
      <c r="O2" s="7" t="s">
        <v>46</v>
      </c>
      <c r="P2" s="7" t="s">
        <v>21</v>
      </c>
      <c r="Q2" s="7"/>
      <c r="R2" s="7" t="s">
        <v>20</v>
      </c>
      <c r="S2" s="7" t="s">
        <v>42</v>
      </c>
      <c r="T2" s="7" t="s">
        <v>44</v>
      </c>
      <c r="U2" s="7" t="s">
        <v>43</v>
      </c>
      <c r="V2" s="7" t="s">
        <v>32</v>
      </c>
      <c r="W2" s="7" t="s">
        <v>47</v>
      </c>
      <c r="X2" s="7" t="s">
        <v>48</v>
      </c>
      <c r="Y2" s="7" t="s">
        <v>49</v>
      </c>
      <c r="Z2" s="1" t="s">
        <v>56</v>
      </c>
      <c r="AA2" s="7"/>
    </row>
    <row r="3" spans="1:27" x14ac:dyDescent="0.25">
      <c r="A3" s="6">
        <v>1</v>
      </c>
      <c r="B3" s="6">
        <v>1</v>
      </c>
      <c r="C3" s="6">
        <v>1</v>
      </c>
      <c r="D3" s="6">
        <v>1</v>
      </c>
      <c r="E3" s="6">
        <v>7</v>
      </c>
      <c r="F3" s="6">
        <v>7</v>
      </c>
      <c r="G3" s="6">
        <v>7</v>
      </c>
      <c r="H3" s="6">
        <v>5</v>
      </c>
      <c r="I3" s="6">
        <v>1</v>
      </c>
      <c r="J3" s="6">
        <v>1.5</v>
      </c>
      <c r="K3" s="6">
        <v>0.7</v>
      </c>
      <c r="L3" s="5">
        <f>EXP(-2114 * (1/(60 + 273) - 1/298))</f>
        <v>2.1077296716389018</v>
      </c>
      <c r="M3">
        <v>2</v>
      </c>
      <c r="N3">
        <v>2</v>
      </c>
      <c r="O3">
        <v>2</v>
      </c>
      <c r="P3">
        <v>2</v>
      </c>
      <c r="R3">
        <v>2</v>
      </c>
      <c r="S3">
        <v>10</v>
      </c>
      <c r="T3">
        <v>10</v>
      </c>
      <c r="U3">
        <v>20</v>
      </c>
      <c r="V3">
        <v>1</v>
      </c>
      <c r="W3">
        <v>18</v>
      </c>
      <c r="X3">
        <v>12</v>
      </c>
      <c r="Y3">
        <v>2.5</v>
      </c>
      <c r="Z3">
        <v>1</v>
      </c>
    </row>
    <row r="7" spans="1:27" x14ac:dyDescent="0.25">
      <c r="A7" s="3" t="s">
        <v>8</v>
      </c>
      <c r="B7" s="3" t="s">
        <v>50</v>
      </c>
      <c r="C7" s="3"/>
      <c r="D7" s="3"/>
      <c r="E7" s="3" t="s">
        <v>54</v>
      </c>
      <c r="F7" s="3" t="s">
        <v>55</v>
      </c>
      <c r="G7" s="3" t="s">
        <v>51</v>
      </c>
      <c r="H7" s="3"/>
      <c r="I7" s="3" t="s">
        <v>52</v>
      </c>
      <c r="J7" s="3" t="s">
        <v>53</v>
      </c>
      <c r="K7" s="3"/>
    </row>
    <row r="8" spans="1:27" x14ac:dyDescent="0.25">
      <c r="A8" s="4">
        <v>1E-8</v>
      </c>
      <c r="B8">
        <f>M3*$L$3*J3*$I$3*A3</f>
        <v>6.3231890149167054</v>
      </c>
      <c r="E8">
        <f>W3*$L$3*I3*$I$3*C3*K3</f>
        <v>26.557393862650159</v>
      </c>
      <c r="F8">
        <f>Z3*$L$3*I3*$I$3*D3*K3</f>
        <v>1.4754107701472312</v>
      </c>
      <c r="G8">
        <f>V3*$L$3*J3*$I$3*C3</f>
        <v>3.1615945074583527</v>
      </c>
      <c r="I8">
        <f>$S$3*$L$3*$J$3*$I$3*$D$3</f>
        <v>31.615945074583529</v>
      </c>
      <c r="J8">
        <f>$X$3*$L$3*$J$3*$I$3*$D$3</f>
        <v>37.939134089500229</v>
      </c>
    </row>
    <row r="12" spans="1:27" x14ac:dyDescent="0.25">
      <c r="A12" s="7" t="s">
        <v>33</v>
      </c>
      <c r="B12">
        <f>(6*I8+J8+12*G8+24*B8+6*E8+B8+G8+6*J8+6*F8)</f>
        <v>822.64689084066345</v>
      </c>
    </row>
    <row r="13" spans="1:27" x14ac:dyDescent="0.25">
      <c r="A13" s="7" t="s">
        <v>34</v>
      </c>
      <c r="B13">
        <f>1/(B12*10^(-9))</f>
        <v>1215588.3783601238</v>
      </c>
    </row>
    <row r="14" spans="1:27" x14ac:dyDescent="0.25">
      <c r="A14" s="7" t="s">
        <v>35</v>
      </c>
      <c r="B14">
        <f>B13/3600</f>
        <v>337.66343843336773</v>
      </c>
    </row>
    <row r="15" spans="1:27" x14ac:dyDescent="0.25">
      <c r="A15" s="7" t="s">
        <v>36</v>
      </c>
      <c r="B15">
        <f>B14/31</f>
        <v>10.892368981721539</v>
      </c>
    </row>
    <row r="16" spans="1:27" x14ac:dyDescent="0.25">
      <c r="A16" s="7" t="s">
        <v>37</v>
      </c>
      <c r="B16">
        <f>B15/12</f>
        <v>0.90769741514346158</v>
      </c>
    </row>
  </sheetData>
  <mergeCells count="4">
    <mergeCell ref="A1:D1"/>
    <mergeCell ref="E1:H1"/>
    <mergeCell ref="J1:K1"/>
    <mergeCell ref="M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Sistema</vt:lpstr>
      <vt:lpstr>MainBoard</vt:lpstr>
      <vt:lpstr>ExpBoard</vt:lpstr>
      <vt:lpstr>DiffDrivers</vt:lpstr>
      <vt:lpstr>CAN</vt:lpstr>
      <vt:lpstr>Flyback</vt:lpstr>
      <vt:lpstr>Buck</vt:lpstr>
      <vt:lpstr>Sensores de corriente</vt:lpstr>
      <vt:lpstr>ModulosTrifasica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BUSTELO</dc:creator>
  <cp:lastModifiedBy>GONZALO EZEQUIEL LINARES</cp:lastModifiedBy>
  <cp:lastPrinted>2025-03-22T15:55:46Z</cp:lastPrinted>
  <dcterms:created xsi:type="dcterms:W3CDTF">2025-03-22T15:47:15Z</dcterms:created>
  <dcterms:modified xsi:type="dcterms:W3CDTF">2025-03-29T21:51:26Z</dcterms:modified>
</cp:coreProperties>
</file>