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The Mirrodin Trigon\Game Stuff\"/>
    </mc:Choice>
  </mc:AlternateContent>
  <xr:revisionPtr revIDLastSave="0" documentId="13_ncr:1_{477C9247-2F17-412C-9DF0-174A96374730}" xr6:coauthVersionLast="47" xr6:coauthVersionMax="47" xr10:uidLastSave="{00000000-0000-0000-0000-000000000000}"/>
  <bookViews>
    <workbookView xWindow="47496" yWindow="456" windowWidth="12960" windowHeight="18336" firstSheet="19" activeTab="19" xr2:uid="{E9D95B66-7EA4-4203-9BE9-B35EAC251241}"/>
  </bookViews>
  <sheets>
    <sheet name="Material Summary" sheetId="1" r:id="rId1"/>
    <sheet name="Chandra Flameworks" sheetId="2" r:id="rId2"/>
    <sheet name="Darksteel Forge" sheetId="3" r:id="rId3"/>
    <sheet name="Oran-Rief Mines" sheetId="5" r:id="rId4"/>
    <sheet name="Xantcha's Crucible" sheetId="4" r:id="rId5"/>
    <sheet name="Thran Foundry" sheetId="6" r:id="rId6"/>
    <sheet name="Neko's Nexus" sheetId="7" r:id="rId7"/>
    <sheet name="Ketria Crystals" sheetId="8" r:id="rId8"/>
    <sheet name="Ghirapur Gridworks" sheetId="10" r:id="rId9"/>
    <sheet name="The Abyssal Chains of Shandalar" sheetId="12" r:id="rId10"/>
    <sheet name="Kaladesh Refinery" sheetId="11" r:id="rId11"/>
    <sheet name="Riveteers District" sheetId="13" r:id="rId12"/>
    <sheet name="Phyrexian Datavault" sheetId="14" r:id="rId13"/>
    <sheet name="Jund Pyroclast" sheetId="15" r:id="rId14"/>
    <sheet name="Keldon Armory" sheetId="18" r:id="rId15"/>
    <sheet name="Urabrask's Refinery" sheetId="16" r:id="rId16"/>
    <sheet name="Obelisks of Alara " sheetId="19" r:id="rId17"/>
    <sheet name="Karn's Conduit" sheetId="20" r:id="rId18"/>
    <sheet name="Thassa's Pulse" sheetId="21" r:id="rId19"/>
    <sheet name="Tollarian Meltdown" sheetId="22" r:id="rId20"/>
    <sheet name="The Mirrodin Trigon" sheetId="23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3" i="1" l="1"/>
  <c r="K21" i="23"/>
  <c r="J14" i="16"/>
  <c r="J12" i="16" s="1"/>
  <c r="D18" i="1" s="1"/>
  <c r="J16" i="16"/>
  <c r="F22" i="23"/>
  <c r="F21" i="23"/>
  <c r="F19" i="23"/>
  <c r="D8" i="1"/>
  <c r="L15" i="3"/>
  <c r="L24" i="3"/>
  <c r="F17" i="23"/>
  <c r="Q17" i="16"/>
  <c r="AB94" i="22"/>
  <c r="F6" i="16"/>
  <c r="I47" i="1"/>
  <c r="J15" i="15"/>
  <c r="F39" i="22"/>
  <c r="F21" i="22"/>
  <c r="L30" i="18" s="1"/>
  <c r="L29" i="18" s="1"/>
  <c r="D12" i="1" s="1"/>
  <c r="F38" i="22"/>
  <c r="J15" i="16"/>
  <c r="F30" i="22"/>
  <c r="K19" i="6"/>
  <c r="X21" i="22"/>
  <c r="F35" i="22" s="1"/>
  <c r="V22" i="22"/>
  <c r="K18" i="6" s="1"/>
  <c r="K13" i="6" s="1"/>
  <c r="D17" i="1" s="1"/>
  <c r="T29" i="22"/>
  <c r="T30" i="22" s="1"/>
  <c r="Q22" i="22"/>
  <c r="R29" i="22" s="1"/>
  <c r="R30" i="22" s="1"/>
  <c r="Q21" i="22"/>
  <c r="O25" i="22"/>
  <c r="O24" i="22"/>
  <c r="O22" i="22"/>
  <c r="O21" i="22"/>
  <c r="F27" i="22"/>
  <c r="L23" i="3"/>
  <c r="F31" i="22"/>
  <c r="F26" i="22"/>
  <c r="F28" i="22"/>
  <c r="K20" i="4"/>
  <c r="K13" i="4" s="1"/>
  <c r="V38" i="18"/>
  <c r="K13" i="11"/>
  <c r="K22" i="11"/>
  <c r="F22" i="22"/>
  <c r="F29" i="22"/>
  <c r="K26" i="13"/>
  <c r="Z28" i="6"/>
  <c r="J18" i="15"/>
  <c r="J17" i="15"/>
  <c r="K16" i="13"/>
  <c r="K25" i="13"/>
  <c r="F20" i="15"/>
  <c r="F18" i="15"/>
  <c r="L22" i="3"/>
  <c r="I69" i="1"/>
  <c r="K12" i="20"/>
  <c r="F25" i="22" l="1"/>
  <c r="Y28" i="22"/>
  <c r="P29" i="22"/>
  <c r="P30" i="22" s="1"/>
  <c r="W28" i="22"/>
  <c r="W29" i="22" s="1"/>
</calcChain>
</file>

<file path=xl/sharedStrings.xml><?xml version="1.0" encoding="utf-8"?>
<sst xmlns="http://schemas.openxmlformats.org/spreadsheetml/2006/main" count="1685" uniqueCount="421">
  <si>
    <t>Item</t>
  </si>
  <si>
    <t>Amount</t>
  </si>
  <si>
    <t>Source</t>
  </si>
  <si>
    <t>Packaged Heavy Oil Residue</t>
  </si>
  <si>
    <t>Chandra's Flameworks</t>
  </si>
  <si>
    <t>Plastic</t>
  </si>
  <si>
    <t>Fabric</t>
  </si>
  <si>
    <t>Available for use</t>
  </si>
  <si>
    <t>Dimensional Depot</t>
  </si>
  <si>
    <t>Name</t>
  </si>
  <si>
    <t>Parents</t>
  </si>
  <si>
    <t>Children</t>
  </si>
  <si>
    <t>Power Production</t>
  </si>
  <si>
    <t>Power Consumption</t>
  </si>
  <si>
    <t xml:space="preserve">Net Gain </t>
  </si>
  <si>
    <t>Inputs</t>
  </si>
  <si>
    <t>Outputs</t>
  </si>
  <si>
    <t>Coal</t>
  </si>
  <si>
    <t>Sulfur</t>
  </si>
  <si>
    <t>Water</t>
  </si>
  <si>
    <t>Oil</t>
  </si>
  <si>
    <t>Miner</t>
  </si>
  <si>
    <t>Water Extractor</t>
  </si>
  <si>
    <t>Oil Extractor</t>
  </si>
  <si>
    <t>Destination</t>
  </si>
  <si>
    <t>Available</t>
  </si>
  <si>
    <t>Heavy Oil Residue</t>
  </si>
  <si>
    <t>None</t>
  </si>
  <si>
    <t>20000 Mw</t>
  </si>
  <si>
    <t>3672.6 MW</t>
  </si>
  <si>
    <t>16327.4 MW</t>
  </si>
  <si>
    <t>Storage</t>
  </si>
  <si>
    <t>Cut-Time</t>
  </si>
  <si>
    <t>Darksteel Forge</t>
  </si>
  <si>
    <t>Iron Ore</t>
  </si>
  <si>
    <t>Iron Ingot</t>
  </si>
  <si>
    <t>0 Mw</t>
  </si>
  <si>
    <t>2268.3 MW</t>
  </si>
  <si>
    <t>4600 MW</t>
  </si>
  <si>
    <t>2.02 Hours</t>
  </si>
  <si>
    <t>-2268.3 MW</t>
  </si>
  <si>
    <t>Iron Ingots</t>
  </si>
  <si>
    <t xml:space="preserve">Darksteel Forge </t>
  </si>
  <si>
    <t>Copper Ingots</t>
  </si>
  <si>
    <t>Xantcha's Crucible</t>
  </si>
  <si>
    <t>2286 MW</t>
  </si>
  <si>
    <t>-2286 MW</t>
  </si>
  <si>
    <t>8800 MWh</t>
  </si>
  <si>
    <t>3.84 Hours</t>
  </si>
  <si>
    <t>Copper Ore</t>
  </si>
  <si>
    <t>Oran-Rief Mines</t>
  </si>
  <si>
    <t>2200 MWh</t>
  </si>
  <si>
    <t>Caterium Ore</t>
  </si>
  <si>
    <t>Caterium Ingots</t>
  </si>
  <si>
    <t>Steel Ingots</t>
  </si>
  <si>
    <t>Thran Foundry</t>
  </si>
  <si>
    <t>466.8 MW</t>
  </si>
  <si>
    <t>-466.8 MW</t>
  </si>
  <si>
    <t>2900 MWh</t>
  </si>
  <si>
    <t>6.21 Hours</t>
  </si>
  <si>
    <t>Miners</t>
  </si>
  <si>
    <t>Limestone</t>
  </si>
  <si>
    <t>Water Extractors</t>
  </si>
  <si>
    <t>Heavy Modular Frame</t>
  </si>
  <si>
    <t>Modular Frames</t>
  </si>
  <si>
    <t>Motors</t>
  </si>
  <si>
    <t>Steel Beam</t>
  </si>
  <si>
    <t>Rotors</t>
  </si>
  <si>
    <t>Encased Industrial Beams</t>
  </si>
  <si>
    <t>Stators</t>
  </si>
  <si>
    <t>Quickwire</t>
  </si>
  <si>
    <t>Portable Miners</t>
  </si>
  <si>
    <t>Steel Pipes</t>
  </si>
  <si>
    <t>Concrete</t>
  </si>
  <si>
    <t>Reinforced Iron Plate</t>
  </si>
  <si>
    <t>Cable</t>
  </si>
  <si>
    <t>Wire</t>
  </si>
  <si>
    <t>Copper Sheet</t>
  </si>
  <si>
    <t>Iron Plate</t>
  </si>
  <si>
    <t>Iron Rods</t>
  </si>
  <si>
    <t>Screws</t>
  </si>
  <si>
    <t>Neko's Nexus</t>
  </si>
  <si>
    <t>Darksteel Forge, Xantcha's Crucible, Oran-Rief Mines, Thran Foundry</t>
  </si>
  <si>
    <t>13.1 GWh</t>
  </si>
  <si>
    <t>Top right belt going to Neko's Nexus has an extra 180 steel on it</t>
  </si>
  <si>
    <t>Ketria Crystals</t>
  </si>
  <si>
    <t>Quartz Crystals</t>
  </si>
  <si>
    <t>Silica</t>
  </si>
  <si>
    <t>Raw Quartz</t>
  </si>
  <si>
    <t>4300 Wh</t>
  </si>
  <si>
    <t>Ghirapur Gridworks</t>
  </si>
  <si>
    <t>Uncompressed Quartz Crystal Line that goes to Ghirapur Gridworks has an extra 189.333</t>
  </si>
  <si>
    <t>Uncompressed Silica Line that goes to Ghirapur Gridworks has an extra 155.40555</t>
  </si>
  <si>
    <t>Top right uncompressed belt going to Neko's Nexus and Ghirapur Gridworks has an extra 82.85 Copper</t>
  </si>
  <si>
    <t>357.9 MW</t>
  </si>
  <si>
    <t>-357.9 MW</t>
  </si>
  <si>
    <t>2400 MWh</t>
  </si>
  <si>
    <t>6.70 Hours</t>
  </si>
  <si>
    <t>Crystal Oscilators</t>
  </si>
  <si>
    <t>High-Speed Connectors</t>
  </si>
  <si>
    <t>AI Limiters</t>
  </si>
  <si>
    <t>Computers</t>
  </si>
  <si>
    <t>Circuit Boards</t>
  </si>
  <si>
    <t>Rubber</t>
  </si>
  <si>
    <t>Empty Canisters</t>
  </si>
  <si>
    <t>Crude Oil</t>
  </si>
  <si>
    <t>Kaladesh Refinery</t>
  </si>
  <si>
    <t>2217.5 MW</t>
  </si>
  <si>
    <t>-2217.5 MW</t>
  </si>
  <si>
    <t>3.96 Hours</t>
  </si>
  <si>
    <t xml:space="preserve">Bottom left belt going to The Abyssal Chains of shandalar has an extra 366.1666 Copper Ingots </t>
  </si>
  <si>
    <t>The Abyssal Chains of Shandalar</t>
  </si>
  <si>
    <t>Belt</t>
  </si>
  <si>
    <t>Bottom Left</t>
  </si>
  <si>
    <t>Top Right</t>
  </si>
  <si>
    <t xml:space="preserve">Middle belt (Middle row and column) going to Neko's Nexus / Ghirapur Gridworks  has an extra 331.25 </t>
  </si>
  <si>
    <t>Row 2 Column 2</t>
  </si>
  <si>
    <t xml:space="preserve">Row 3 Column 1 and 2 </t>
  </si>
  <si>
    <t xml:space="preserve">Iron Ingot </t>
  </si>
  <si>
    <t>Row 2 Column 1</t>
  </si>
  <si>
    <t>Plastic Belt going to the Abyssal Chains of Shandalar (Middle) has an extra 348 Plastic</t>
  </si>
  <si>
    <t>Rubber Belt going to the Abyssal Chains of Shandalar (Right) has an extra 217.5 Rubber</t>
  </si>
  <si>
    <t>Modular Engines</t>
  </si>
  <si>
    <t>Adaptive Control Units</t>
  </si>
  <si>
    <t>Darksteel Forge, Xantcha's Crucible, Kaladesh Refinery</t>
  </si>
  <si>
    <t>231.9 MW</t>
  </si>
  <si>
    <t>-231.9 MW</t>
  </si>
  <si>
    <t>14.7 GWh</t>
  </si>
  <si>
    <t>63.39 Hours</t>
  </si>
  <si>
    <t>Riverteers District</t>
  </si>
  <si>
    <t>Bottom Right</t>
  </si>
  <si>
    <t>Riveteers District</t>
  </si>
  <si>
    <t>Bauxite</t>
  </si>
  <si>
    <t>Water Exctractors</t>
  </si>
  <si>
    <t xml:space="preserve">Xantcha's Crucible </t>
  </si>
  <si>
    <t>Alclcad Aluminum Sheet</t>
  </si>
  <si>
    <t>Aluminum Scrap</t>
  </si>
  <si>
    <t>Aluminum Ingots</t>
  </si>
  <si>
    <t xml:space="preserve">Aluminum Casing </t>
  </si>
  <si>
    <t>7300 Wh</t>
  </si>
  <si>
    <t>1011.1 MW</t>
  </si>
  <si>
    <t>-1011.1 MW</t>
  </si>
  <si>
    <t>2.17 Hours</t>
  </si>
  <si>
    <t>Alclad Aluminum Sheet</t>
  </si>
  <si>
    <t>1108 MW</t>
  </si>
  <si>
    <t>-1108 MW</t>
  </si>
  <si>
    <t>3.88 Hours</t>
  </si>
  <si>
    <t>On the desert</t>
  </si>
  <si>
    <t>Phyrexian Datavault</t>
  </si>
  <si>
    <t>Plastic Line going to Phyrexian Datavault has an extra 126.333</t>
  </si>
  <si>
    <t>Silica Line going to Phyrexian Datavault has an extra 29.40555</t>
  </si>
  <si>
    <t>Bottom belt going to  Phyrexian Datavault district has an extra 79.017 Copper</t>
  </si>
  <si>
    <t>Middle belt going to  Phyrexian Datavault district has an extra 174 Copper</t>
  </si>
  <si>
    <t>Kaladesh Refinery, Xantcha's Crucible, Oran-Rief Mines, Ketria Crystals, Riveteers District</t>
  </si>
  <si>
    <t>Aluminum Casing</t>
  </si>
  <si>
    <t>Supercomputers</t>
  </si>
  <si>
    <t>Radio Control Units</t>
  </si>
  <si>
    <t>3397.7 MW</t>
  </si>
  <si>
    <t>-3397.7 MW</t>
  </si>
  <si>
    <t>6000 MWh</t>
  </si>
  <si>
    <t>1.76 Hours</t>
  </si>
  <si>
    <t>Empty Fluid Tank</t>
  </si>
  <si>
    <t>Jund Pyroclast</t>
  </si>
  <si>
    <t>2800 MWh</t>
  </si>
  <si>
    <t>Infinite</t>
  </si>
  <si>
    <t>17042.1 MW</t>
  </si>
  <si>
    <t>18917.3 Mw</t>
  </si>
  <si>
    <t>Nitrogen Gas</t>
  </si>
  <si>
    <t>Extractor</t>
  </si>
  <si>
    <t>Polymer Resin</t>
  </si>
  <si>
    <t>Compacted Coal</t>
  </si>
  <si>
    <t>Packaged Rocket Fuel</t>
  </si>
  <si>
    <t xml:space="preserve">Copper Ingots </t>
  </si>
  <si>
    <t>Keldon Armory</t>
  </si>
  <si>
    <t>Top belt going to Riveteers, Phyrexian Datavault district and Keldon Armory has an extra 103.46666 Copper</t>
  </si>
  <si>
    <t>Top belt going to has an extra 780 Iron Ingots</t>
  </si>
  <si>
    <t>Nobelisk</t>
  </si>
  <si>
    <t>Pulse Nobelisk</t>
  </si>
  <si>
    <t>Cluster Nobelisk</t>
  </si>
  <si>
    <t>Black Powder</t>
  </si>
  <si>
    <t>Smokeless Powder</t>
  </si>
  <si>
    <t>Rifle Ammo</t>
  </si>
  <si>
    <t>Homing Rifle Ammo</t>
  </si>
  <si>
    <t>Turbo Rifle Ammo</t>
  </si>
  <si>
    <t>Iron Rebar</t>
  </si>
  <si>
    <t>Shatter Rebar</t>
  </si>
  <si>
    <t>Stun Rebar</t>
  </si>
  <si>
    <t>Explosive Rebar</t>
  </si>
  <si>
    <t>Packaged Turbo Fuel</t>
  </si>
  <si>
    <t>Packaged Fuel</t>
  </si>
  <si>
    <t xml:space="preserve">Keldon Armory </t>
  </si>
  <si>
    <t>Urabrask's Refinery</t>
  </si>
  <si>
    <t>0 MW</t>
  </si>
  <si>
    <t>5800 MWh</t>
  </si>
  <si>
    <t>1.33 Hours</t>
  </si>
  <si>
    <t>Riveteers District Miner</t>
  </si>
  <si>
    <t>805.9 MW</t>
  </si>
  <si>
    <t>-805.9 MW</t>
  </si>
  <si>
    <t>16.25 Hours</t>
  </si>
  <si>
    <t>Obelisk of Alara</t>
  </si>
  <si>
    <t>1390.1 MW</t>
  </si>
  <si>
    <t>-1390.1 MW</t>
  </si>
  <si>
    <t>Miner (Jund Pyroclast)</t>
  </si>
  <si>
    <t>Obelisks of Alara</t>
  </si>
  <si>
    <t>Line</t>
  </si>
  <si>
    <t>Oran Rief Mines</t>
  </si>
  <si>
    <t>45.8 GWh</t>
  </si>
  <si>
    <t>Iron ore</t>
  </si>
  <si>
    <t>Quartz Crystal</t>
  </si>
  <si>
    <t>Ghirapur Gridworks,Phyrexian Datavault, Keldon Armory, Obelisks of Alara</t>
  </si>
  <si>
    <t>Steel Ingot</t>
  </si>
  <si>
    <t xml:space="preserve">Thran Foundry </t>
  </si>
  <si>
    <t>Caterium Ingot</t>
  </si>
  <si>
    <t>Aluminum Ingot</t>
  </si>
  <si>
    <t>Riveteers District, Ketria Crystals, Thran Foundry, Oran-Rief Mines, Urabrask's Refinery</t>
  </si>
  <si>
    <t>Heat Sink</t>
  </si>
  <si>
    <t>Smart Plating</t>
  </si>
  <si>
    <t>Fused Modular Frame</t>
  </si>
  <si>
    <t>Turbo Motor</t>
  </si>
  <si>
    <t>Cooling System</t>
  </si>
  <si>
    <t>Thermal Propulsion Rocket</t>
  </si>
  <si>
    <t>Karn's Conduit</t>
  </si>
  <si>
    <t>Obelisks of Alara, Keldon Armory, Riveteers District, Phyrexian Datavault, Thran Foundry , Darksteel Forge</t>
  </si>
  <si>
    <t>738.9 MW</t>
  </si>
  <si>
    <t>-738.9 MW</t>
  </si>
  <si>
    <t>3.78 Hours</t>
  </si>
  <si>
    <t>Mk3 Miner</t>
  </si>
  <si>
    <t>Obelisks Of Alara Miner</t>
  </si>
  <si>
    <t>Supercomputer</t>
  </si>
  <si>
    <t>Versatile Framework</t>
  </si>
  <si>
    <t>Automated Wiring</t>
  </si>
  <si>
    <t>Assembly Director System</t>
  </si>
  <si>
    <t>Electromagnetic Control Rods</t>
  </si>
  <si>
    <t>Magnetic Field Generator</t>
  </si>
  <si>
    <t>Thassa's Pulse</t>
  </si>
  <si>
    <t>Karn's Conduit, Thassa's Pulse</t>
  </si>
  <si>
    <t>Jund Pyroclast Well</t>
  </si>
  <si>
    <t>Riveteers District, Phyrexian Datavault, Urabrask's Refinery, Thran Foundry, Jund Pyroclast</t>
  </si>
  <si>
    <t>Thran Foundru</t>
  </si>
  <si>
    <t>Copper Powder</t>
  </si>
  <si>
    <t>Pressure Conversion Cube</t>
  </si>
  <si>
    <t>Nuclear Pasta</t>
  </si>
  <si>
    <t>Power Consumption Stable</t>
  </si>
  <si>
    <t>Storage Stable</t>
  </si>
  <si>
    <t>Cut-Time Stable</t>
  </si>
  <si>
    <t>Power Consumption Unstable</t>
  </si>
  <si>
    <t>Storage Unstable</t>
  </si>
  <si>
    <t>Cut-Time Unstable</t>
  </si>
  <si>
    <t>1600 MWh</t>
  </si>
  <si>
    <t>702.15 MW</t>
  </si>
  <si>
    <t>2000 MWh</t>
  </si>
  <si>
    <t xml:space="preserve">2.84 Hours </t>
  </si>
  <si>
    <t>Neko's Nexus, Ghirapur Gridworks, Phyrexian Datavault, Keldon Armory , Obelisks of Alara, Karn's Conduit, Jund Pyroclast</t>
  </si>
  <si>
    <t>Jund Pytoclast</t>
  </si>
  <si>
    <t xml:space="preserve">Riveteers District, Darksteel Forge, Oran-Rief Mines </t>
  </si>
  <si>
    <t>Gas Filter</t>
  </si>
  <si>
    <t>Iodine-Infused Filter</t>
  </si>
  <si>
    <t>3000 MWh</t>
  </si>
  <si>
    <t>Tollarian Meltdown</t>
  </si>
  <si>
    <t>Karn's Conduit, Tollarian Meltdown</t>
  </si>
  <si>
    <t>Phyrexian Datavault, Keldon Armory, Jund Pyroclast, Urabrask's Refinery, Obelisks of Alara, Karn's Conduit, Tollarian Meltdown</t>
  </si>
  <si>
    <t>Phyrexian Datavault, The Abyssal Chains of Shandalar, Keldon Armory, Obelisks of Alara, Tollarian Meltdown</t>
  </si>
  <si>
    <t>Tollarian Meltown</t>
  </si>
  <si>
    <t>Quartz Crystal Line going to Phyrexian Datavault, Keldon Armory, Tollarian Meltdown and Obelisks of Alara has an extra 259.35</t>
  </si>
  <si>
    <t>Notes</t>
  </si>
  <si>
    <t>Top Container</t>
  </si>
  <si>
    <t>Neko's Nexus, Obelisk of Alara, Karn's Conduit, Thassa's Pulse, Tollarian Meltdown</t>
  </si>
  <si>
    <t>Coming from Top Container</t>
  </si>
  <si>
    <t>Neko's Nexus, Ghirapur Gridworks, Phyrexian Datavault, Riveteers District, The Abyssal Chains of Shandalar, Keldon Armory, Tollarian Meltdown</t>
  </si>
  <si>
    <t xml:space="preserve">Copper Ore </t>
  </si>
  <si>
    <t>Thassa's Pulse Miner</t>
  </si>
  <si>
    <t>Obelisks of Alara, Thassa's Pulse, Tollarian Meltdown</t>
  </si>
  <si>
    <t>Rubber Line going to Phyrexian Datavaul, Keldon Armory, Obelisk of Alara and Tollarian Meltdown  has an extra 42.74549 available</t>
  </si>
  <si>
    <t>Rest Belt has an extra 99.690888889</t>
  </si>
  <si>
    <t>Kaladesh Refinery, Riveteers District, Oran-Rief Mines, Xantcha's Crucible, Ketria Crystals, Darksteel Forge, Tollarian Meltdown</t>
  </si>
  <si>
    <t>Middle belt going to Tollarian Meltdown has an extra 151.659 Iron Ingots</t>
  </si>
  <si>
    <t>Water Distribution</t>
  </si>
  <si>
    <t>Pipe 1</t>
  </si>
  <si>
    <t>Pipe 2</t>
  </si>
  <si>
    <t>Sulfuric Acid</t>
  </si>
  <si>
    <t>Water Packager</t>
  </si>
  <si>
    <t>Copper Sheets</t>
  </si>
  <si>
    <t>Total</t>
  </si>
  <si>
    <t>Percentage</t>
  </si>
  <si>
    <t>Pipe 3</t>
  </si>
  <si>
    <t>Nitric Acid</t>
  </si>
  <si>
    <t>Bottom Container</t>
  </si>
  <si>
    <t>Steel Distribution</t>
  </si>
  <si>
    <t>Steel Pipes for Stators</t>
  </si>
  <si>
    <t>Steel Pipes for Encased Industrial Beams and HMF</t>
  </si>
  <si>
    <t>Steel Pipes for Modular Frames</t>
  </si>
  <si>
    <t>Super Total</t>
  </si>
  <si>
    <t>Coming From Bot Container</t>
  </si>
  <si>
    <t>Bottom Container has an extra 78.14267</t>
  </si>
  <si>
    <t>Top Container has an extra 145.9296296</t>
  </si>
  <si>
    <t>Suflur</t>
  </si>
  <si>
    <t>Jund Pyroclast &amp; Urabrask Refinery Miner</t>
  </si>
  <si>
    <t>Riveteers District , Keldon Armory, Kaladesh Refinery, Ketria Crystals, Thran Foundry, Xantcha's Crucible, Darksteel Forge, Thassa's Pulse, Keldon Armory, Phyrexian Datavault, Jund Pyroclast</t>
  </si>
  <si>
    <t>Machine</t>
  </si>
  <si>
    <t>Consumption</t>
  </si>
  <si>
    <t>Zone</t>
  </si>
  <si>
    <t>Destiny</t>
  </si>
  <si>
    <t>Water Extraction</t>
  </si>
  <si>
    <t>Refineries</t>
  </si>
  <si>
    <t>Assemblers</t>
  </si>
  <si>
    <t>Zone A East</t>
  </si>
  <si>
    <t>Everywhere</t>
  </si>
  <si>
    <t>Manufacturers</t>
  </si>
  <si>
    <t>Smelter</t>
  </si>
  <si>
    <t>Making</t>
  </si>
  <si>
    <t>Alclad Casing</t>
  </si>
  <si>
    <t>Ai Limiter</t>
  </si>
  <si>
    <t>AI Limiter</t>
  </si>
  <si>
    <t>Crystal Oscillator</t>
  </si>
  <si>
    <t>Nuke Nobelisk</t>
  </si>
  <si>
    <t>Casing and Copper Sheets</t>
  </si>
  <si>
    <t>Zone A Middle</t>
  </si>
  <si>
    <t>Constructor</t>
  </si>
  <si>
    <t>Steel Pipe</t>
  </si>
  <si>
    <t>Crystal oscillator</t>
  </si>
  <si>
    <t>Uranium Fuel Rods</t>
  </si>
  <si>
    <t>Foundries</t>
  </si>
  <si>
    <t>Constructors</t>
  </si>
  <si>
    <t>Refinery</t>
  </si>
  <si>
    <t>Packaging</t>
  </si>
  <si>
    <t>Packagers</t>
  </si>
  <si>
    <t>Packager</t>
  </si>
  <si>
    <t>Packaged Sulfuric Acid</t>
  </si>
  <si>
    <t>Output</t>
  </si>
  <si>
    <t>Packaged Water</t>
  </si>
  <si>
    <t>Caterium Wire</t>
  </si>
  <si>
    <t>Crystal Oscillator and Electromagnetic Control Rods</t>
  </si>
  <si>
    <t>Oil Segment</t>
  </si>
  <si>
    <t>Petroleum Coke</t>
  </si>
  <si>
    <t>Diamonds</t>
  </si>
  <si>
    <t>192.1/576.4</t>
  </si>
  <si>
    <t>Output and Time Crystals</t>
  </si>
  <si>
    <t>Particle Accelerator</t>
  </si>
  <si>
    <t>Converter</t>
  </si>
  <si>
    <t>94.8/379.1</t>
  </si>
  <si>
    <t>Time Crystals</t>
  </si>
  <si>
    <t>Zone B</t>
  </si>
  <si>
    <t>Reinfornced Iron Plates</t>
  </si>
  <si>
    <t>Iron Plates</t>
  </si>
  <si>
    <t>Foundry</t>
  </si>
  <si>
    <t>Heavy modular Frames and encased industrial beams</t>
  </si>
  <si>
    <t>Heavy Modular Frames</t>
  </si>
  <si>
    <t>Encased Industrial Beams and Heavy  Modular Frames</t>
  </si>
  <si>
    <t>Encased Industrial Beam</t>
  </si>
  <si>
    <t>Fused Modular Frames</t>
  </si>
  <si>
    <t>Blenders</t>
  </si>
  <si>
    <t>Zone B Close to Power Plant</t>
  </si>
  <si>
    <t>Plutonium Fuel Rod</t>
  </si>
  <si>
    <t>Packaging and  non fissile Uranium</t>
  </si>
  <si>
    <t>Packaged Nitrogen Gas</t>
  </si>
  <si>
    <t>Packaged Nitric Acid</t>
  </si>
  <si>
    <t>Empty fluid Tank</t>
  </si>
  <si>
    <t>Encased Uranium Cell</t>
  </si>
  <si>
    <t>Northern Sector</t>
  </si>
  <si>
    <t>Encased Uranium Cell and Non-Fissile Uranium</t>
  </si>
  <si>
    <t>Outer Region</t>
  </si>
  <si>
    <t>Power Plant</t>
  </si>
  <si>
    <t>Non-Fissile Uranium</t>
  </si>
  <si>
    <t>Encased Plutonium Cell</t>
  </si>
  <si>
    <t>Uranium Fuel Rod</t>
  </si>
  <si>
    <t>Nuclear Power Plants</t>
  </si>
  <si>
    <t>Encased Uranium Cells</t>
  </si>
  <si>
    <t>193.7/581.1</t>
  </si>
  <si>
    <t>Water Farm</t>
  </si>
  <si>
    <t xml:space="preserve">Nitrogen Gas </t>
  </si>
  <si>
    <t>Power Production Stable</t>
  </si>
  <si>
    <t>Power Production Unstable</t>
  </si>
  <si>
    <t xml:space="preserve">Infinite </t>
  </si>
  <si>
    <t>Time Crystal</t>
  </si>
  <si>
    <t>Plutonium Fuel Rods</t>
  </si>
  <si>
    <t xml:space="preserve">Well Extractor </t>
  </si>
  <si>
    <t>Lights</t>
  </si>
  <si>
    <t>Oil extractor</t>
  </si>
  <si>
    <t xml:space="preserve">Packaged Rocket Fuel </t>
  </si>
  <si>
    <t>945.7 MW</t>
  </si>
  <si>
    <t>121734.4 MW</t>
  </si>
  <si>
    <t>4352.7 MW</t>
  </si>
  <si>
    <t>-4352.7 MW</t>
  </si>
  <si>
    <t>2019.5 MW</t>
  </si>
  <si>
    <t>1668.3 MW</t>
  </si>
  <si>
    <t>-1668.3 MW</t>
  </si>
  <si>
    <t>3371.9 MW</t>
  </si>
  <si>
    <t>-3371.9 MW</t>
  </si>
  <si>
    <t>1.69 Hours</t>
  </si>
  <si>
    <t>4.37 Hours</t>
  </si>
  <si>
    <t>13.58 Hours</t>
  </si>
  <si>
    <t>3100 MWh</t>
  </si>
  <si>
    <t>17390.625 MW</t>
  </si>
  <si>
    <t>5530.95 MW</t>
  </si>
  <si>
    <t>5600 MW</t>
  </si>
  <si>
    <t>The Mirrodin Trigon</t>
  </si>
  <si>
    <t>Train Color 1</t>
  </si>
  <si>
    <t>Train Color 2</t>
  </si>
  <si>
    <t>5A0069</t>
  </si>
  <si>
    <t>320249</t>
  </si>
  <si>
    <t>Thran Foundy, Neko's Nexus, Ghirapur Gridworks, The Abyssal Chains of Shandalar, Keldon Armory, Karn's Conduit, Jund Pyroclast, Tollarian Meltdown, The Mirrodin Trigon</t>
  </si>
  <si>
    <t>Bottom belt going to Keldon Armory, Karn's Conduit, The Mirrod Trigon And Jund PYroclast has an extra 226.586666 Iron Ingots</t>
  </si>
  <si>
    <t>SAM</t>
  </si>
  <si>
    <t>Tollarian Meltdown Miner</t>
  </si>
  <si>
    <t>Urabrask Refinery</t>
  </si>
  <si>
    <t>Darksteel Forge, Tollarian Meltdown, Urabrask Refinery</t>
  </si>
  <si>
    <t>Reanimated SAM</t>
  </si>
  <si>
    <t>Ficsite Ingot</t>
  </si>
  <si>
    <t>SAM Fluctuator</t>
  </si>
  <si>
    <t>Ficsite Trigon</t>
  </si>
  <si>
    <t>2933.7 MW</t>
  </si>
  <si>
    <t>1.56 Hours</t>
  </si>
  <si>
    <t>4600 MWh</t>
  </si>
  <si>
    <t>3449.1 MW (Avg)</t>
  </si>
  <si>
    <t>5700 MWh</t>
  </si>
  <si>
    <t>1.65 Hours</t>
  </si>
  <si>
    <t>14379.4 MW</t>
  </si>
  <si>
    <t>Net Gain Stable</t>
  </si>
  <si>
    <t>Net Gain Unstable</t>
  </si>
  <si>
    <t>107354.97 MW</t>
  </si>
  <si>
    <t>11859.675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</si>
</sst>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0" fontId="1" fillId="0" borderId="15" xfId="0" applyFont="1" applyBorder="1"/>
    <xf numFmtId="0" fontId="1" fillId="0" borderId="12" xfId="0" applyFont="1" applyBorder="1"/>
    <xf numFmtId="0" fontId="1" fillId="0" borderId="13" xfId="0" applyFont="1" applyBorder="1"/>
    <xf numFmtId="49" fontId="0" fillId="0" borderId="0" xfId="0" applyNumberFormat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0" fontId="1" fillId="0" borderId="12" xfId="0" applyFont="1" applyBorder="1" applyAlignment="1">
      <alignment horizontal="left" vertical="center"/>
    </xf>
    <xf numFmtId="49" fontId="0" fillId="0" borderId="3" xfId="0" applyNumberFormat="1" applyBorder="1" applyAlignment="1">
      <alignment vertical="top" wrapText="1"/>
    </xf>
    <xf numFmtId="0" fontId="1" fillId="0" borderId="12" xfId="0" applyFont="1" applyBorder="1" applyAlignment="1">
      <alignment vertical="center"/>
    </xf>
    <xf numFmtId="49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49" fontId="0" fillId="0" borderId="3" xfId="0" applyNumberForma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3" xfId="0" applyBorder="1"/>
    <xf numFmtId="0" fontId="0" fillId="0" borderId="22" xfId="0" applyBorder="1"/>
    <xf numFmtId="0" fontId="0" fillId="0" borderId="21" xfId="0" applyBorder="1"/>
    <xf numFmtId="0" fontId="0" fillId="0" borderId="2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0" fontId="0" fillId="0" borderId="15" xfId="0" applyBorder="1"/>
    <xf numFmtId="0" fontId="1" fillId="0" borderId="10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0" fillId="0" borderId="22" xfId="0" applyBorder="1" applyAlignment="1">
      <alignment wrapText="1"/>
    </xf>
    <xf numFmtId="0" fontId="1" fillId="0" borderId="10" xfId="0" applyFont="1" applyBorder="1"/>
    <xf numFmtId="0" fontId="1" fillId="0" borderId="1" xfId="0" applyFont="1" applyBorder="1"/>
    <xf numFmtId="0" fontId="1" fillId="0" borderId="14" xfId="0" applyFont="1" applyBorder="1"/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9" xfId="0" applyFont="1" applyBorder="1"/>
    <xf numFmtId="0" fontId="1" fillId="0" borderId="18" xfId="0" applyFont="1" applyBorder="1"/>
    <xf numFmtId="0" fontId="1" fillId="0" borderId="20" xfId="0" applyFont="1" applyBorder="1"/>
    <xf numFmtId="49" fontId="0" fillId="0" borderId="3" xfId="0" applyNumberFormat="1" applyBorder="1" applyAlignment="1">
      <alignment horizontal="left" vertical="center" wrapText="1"/>
    </xf>
    <xf numFmtId="2" fontId="0" fillId="0" borderId="0" xfId="0" applyNumberFormat="1"/>
    <xf numFmtId="49" fontId="0" fillId="0" borderId="23" xfId="0" applyNumberFormat="1" applyBorder="1"/>
    <xf numFmtId="49" fontId="0" fillId="0" borderId="22" xfId="0" applyNumberFormat="1" applyBorder="1" applyAlignment="1">
      <alignment vertical="center" wrapText="1"/>
    </xf>
    <xf numFmtId="49" fontId="0" fillId="0" borderId="22" xfId="0" applyNumberFormat="1" applyBorder="1"/>
    <xf numFmtId="49" fontId="0" fillId="0" borderId="24" xfId="0" applyNumberFormat="1" applyBorder="1"/>
    <xf numFmtId="49" fontId="0" fillId="0" borderId="22" xfId="0" applyNumberFormat="1" applyBorder="1" applyAlignment="1">
      <alignment wrapText="1"/>
    </xf>
    <xf numFmtId="0" fontId="1" fillId="0" borderId="3" xfId="0" applyFont="1" applyBorder="1" applyAlignment="1">
      <alignment vertical="center"/>
    </xf>
    <xf numFmtId="0" fontId="0" fillId="0" borderId="7" xfId="0" applyBorder="1" applyAlignment="1">
      <alignment horizontal="left"/>
    </xf>
    <xf numFmtId="10" fontId="0" fillId="0" borderId="4" xfId="0" applyNumberFormat="1" applyBorder="1"/>
    <xf numFmtId="0" fontId="0" fillId="0" borderId="35" xfId="0" applyBorder="1"/>
    <xf numFmtId="164" fontId="0" fillId="0" borderId="2" xfId="0" applyNumberFormat="1" applyBorder="1"/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/>
    <xf numFmtId="0" fontId="1" fillId="0" borderId="34" xfId="0" applyFont="1" applyBorder="1"/>
    <xf numFmtId="0" fontId="1" fillId="0" borderId="40" xfId="0" applyFont="1" applyBorder="1"/>
    <xf numFmtId="0" fontId="1" fillId="0" borderId="36" xfId="0" applyFont="1" applyBorder="1"/>
    <xf numFmtId="0" fontId="0" fillId="0" borderId="39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2" xfId="0" applyBorder="1" applyAlignment="1">
      <alignment horizontal="center"/>
    </xf>
    <xf numFmtId="0" fontId="0" fillId="0" borderId="39" xfId="0" applyBorder="1" applyAlignment="1">
      <alignment horizontal="center"/>
    </xf>
    <xf numFmtId="0" fontId="1" fillId="0" borderId="49" xfId="0" applyFont="1" applyBorder="1"/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0" xfId="0" applyFont="1" applyBorder="1"/>
    <xf numFmtId="4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AD1A-BE12-4BD3-A45F-18807DFF108B}">
  <dimension ref="B2:J100"/>
  <sheetViews>
    <sheetView topLeftCell="B63" zoomScale="85" zoomScaleNormal="85" workbookViewId="0">
      <selection activeCell="O96" sqref="O96"/>
    </sheetView>
  </sheetViews>
  <sheetFormatPr defaultColWidth="8.90625" defaultRowHeight="14.5" x14ac:dyDescent="0.35"/>
  <cols>
    <col min="3" max="3" width="23.7265625" bestFit="1" customWidth="1"/>
    <col min="4" max="4" width="9.81640625" style="1" bestFit="1" customWidth="1"/>
    <col min="5" max="5" width="19.26953125" bestFit="1" customWidth="1"/>
    <col min="8" max="8" width="23.7265625" bestFit="1" customWidth="1"/>
    <col min="9" max="9" width="7.81640625" style="1" bestFit="1" customWidth="1"/>
    <col min="10" max="10" width="27" bestFit="1" customWidth="1"/>
  </cols>
  <sheetData>
    <row r="2" spans="2:10" x14ac:dyDescent="0.35">
      <c r="B2" s="1"/>
    </row>
    <row r="3" spans="2:10" ht="15" thickBot="1" x14ac:dyDescent="0.4"/>
    <row r="4" spans="2:10" ht="15" thickBot="1" x14ac:dyDescent="0.4">
      <c r="C4" s="92" t="s">
        <v>7</v>
      </c>
      <c r="D4" s="93"/>
      <c r="E4" s="94"/>
      <c r="F4" s="13"/>
      <c r="G4" s="13"/>
      <c r="H4" s="92" t="s">
        <v>8</v>
      </c>
      <c r="I4" s="93"/>
      <c r="J4" s="94"/>
    </row>
    <row r="5" spans="2:10" ht="15" thickBot="1" x14ac:dyDescent="0.4">
      <c r="C5" s="35" t="s">
        <v>0</v>
      </c>
      <c r="D5" s="34" t="s">
        <v>1</v>
      </c>
      <c r="E5" s="36" t="s">
        <v>2</v>
      </c>
      <c r="F5" s="15"/>
      <c r="G5" s="15"/>
      <c r="H5" s="35" t="s">
        <v>0</v>
      </c>
      <c r="I5" s="34" t="s">
        <v>1</v>
      </c>
      <c r="J5" s="36" t="s">
        <v>2</v>
      </c>
    </row>
    <row r="6" spans="2:10" x14ac:dyDescent="0.35">
      <c r="C6" s="47" t="s">
        <v>143</v>
      </c>
      <c r="D6" s="44">
        <v>246.666</v>
      </c>
      <c r="E6" s="40" t="s">
        <v>131</v>
      </c>
      <c r="H6" s="19" t="s">
        <v>5</v>
      </c>
      <c r="I6" s="55">
        <v>15</v>
      </c>
      <c r="J6" s="40" t="s">
        <v>4</v>
      </c>
    </row>
    <row r="7" spans="2:10" x14ac:dyDescent="0.35">
      <c r="C7" s="6" t="s">
        <v>43</v>
      </c>
      <c r="D7" s="11">
        <v>99.690888880000003</v>
      </c>
      <c r="E7" s="41" t="s">
        <v>44</v>
      </c>
      <c r="H7" s="2" t="s">
        <v>6</v>
      </c>
      <c r="I7" s="56">
        <v>5</v>
      </c>
      <c r="J7" s="41" t="s">
        <v>4</v>
      </c>
    </row>
    <row r="8" spans="2:10" x14ac:dyDescent="0.35">
      <c r="C8" s="6" t="s">
        <v>41</v>
      </c>
      <c r="D8" s="11">
        <f>'Darksteel Forge'!L15</f>
        <v>1158.2577573976091</v>
      </c>
      <c r="E8" s="41" t="s">
        <v>42</v>
      </c>
      <c r="H8" s="2" t="s">
        <v>63</v>
      </c>
      <c r="I8" s="56">
        <v>1.4065000000000001</v>
      </c>
      <c r="J8" s="41" t="s">
        <v>81</v>
      </c>
    </row>
    <row r="9" spans="2:10" x14ac:dyDescent="0.35">
      <c r="C9" s="6" t="s">
        <v>5</v>
      </c>
      <c r="D9" s="11">
        <v>58.332999999999998</v>
      </c>
      <c r="E9" s="41" t="s">
        <v>4</v>
      </c>
      <c r="H9" s="2" t="s">
        <v>64</v>
      </c>
      <c r="I9" s="56">
        <v>2.25</v>
      </c>
      <c r="J9" s="41" t="s">
        <v>81</v>
      </c>
    </row>
    <row r="10" spans="2:10" x14ac:dyDescent="0.35">
      <c r="C10" s="6" t="s">
        <v>5</v>
      </c>
      <c r="D10" s="11">
        <v>68</v>
      </c>
      <c r="E10" s="41" t="s">
        <v>106</v>
      </c>
      <c r="H10" s="2" t="s">
        <v>65</v>
      </c>
      <c r="I10" s="56">
        <v>2.5</v>
      </c>
      <c r="J10" s="41" t="s">
        <v>81</v>
      </c>
    </row>
    <row r="11" spans="2:10" x14ac:dyDescent="0.35">
      <c r="C11" s="6" t="s">
        <v>5</v>
      </c>
      <c r="D11" s="11">
        <v>29.17</v>
      </c>
      <c r="E11" s="41" t="s">
        <v>162</v>
      </c>
      <c r="H11" s="2" t="s">
        <v>66</v>
      </c>
      <c r="I11" s="56">
        <v>45</v>
      </c>
      <c r="J11" s="41" t="s">
        <v>81</v>
      </c>
    </row>
    <row r="12" spans="2:10" x14ac:dyDescent="0.35">
      <c r="C12" s="6" t="s">
        <v>5</v>
      </c>
      <c r="D12" s="11">
        <f>'Keldon Armory'!L29</f>
        <v>154.12946666666664</v>
      </c>
      <c r="E12" s="41" t="s">
        <v>190</v>
      </c>
      <c r="H12" s="2" t="s">
        <v>67</v>
      </c>
      <c r="I12" s="56">
        <v>5</v>
      </c>
      <c r="J12" s="41" t="s">
        <v>81</v>
      </c>
    </row>
    <row r="13" spans="2:10" x14ac:dyDescent="0.35">
      <c r="C13" s="6" t="s">
        <v>86</v>
      </c>
      <c r="D13" s="11">
        <v>226.37222</v>
      </c>
      <c r="E13" s="41" t="s">
        <v>85</v>
      </c>
      <c r="H13" s="2" t="s">
        <v>68</v>
      </c>
      <c r="I13" s="56">
        <v>7.3125</v>
      </c>
      <c r="J13" s="41" t="s">
        <v>81</v>
      </c>
    </row>
    <row r="14" spans="2:10" x14ac:dyDescent="0.35">
      <c r="C14" s="6" t="s">
        <v>103</v>
      </c>
      <c r="D14" s="11">
        <v>42.745489999999997</v>
      </c>
      <c r="E14" s="41" t="s">
        <v>106</v>
      </c>
      <c r="H14" s="2" t="s">
        <v>69</v>
      </c>
      <c r="I14" s="56">
        <v>3</v>
      </c>
      <c r="J14" s="41" t="s">
        <v>81</v>
      </c>
    </row>
    <row r="15" spans="2:10" x14ac:dyDescent="0.35">
      <c r="C15" s="6" t="s">
        <v>87</v>
      </c>
      <c r="D15" s="11">
        <v>125.0989</v>
      </c>
      <c r="E15" s="41" t="s">
        <v>131</v>
      </c>
      <c r="H15" s="2" t="s">
        <v>70</v>
      </c>
      <c r="I15" s="56">
        <v>30</v>
      </c>
      <c r="J15" s="41" t="s">
        <v>81</v>
      </c>
    </row>
    <row r="16" spans="2:10" x14ac:dyDescent="0.35">
      <c r="C16" s="6" t="s">
        <v>87</v>
      </c>
      <c r="D16" s="11">
        <v>29.405555</v>
      </c>
      <c r="E16" s="41" t="s">
        <v>85</v>
      </c>
      <c r="H16" s="2" t="s">
        <v>71</v>
      </c>
      <c r="I16" s="56">
        <v>0.5</v>
      </c>
      <c r="J16" s="41" t="s">
        <v>81</v>
      </c>
    </row>
    <row r="17" spans="3:10" x14ac:dyDescent="0.35">
      <c r="C17" s="6" t="s">
        <v>54</v>
      </c>
      <c r="D17" s="11">
        <f>'Thran Foundry'!K13</f>
        <v>224.07229629629634</v>
      </c>
      <c r="E17" s="41" t="s">
        <v>55</v>
      </c>
      <c r="H17" s="2" t="s">
        <v>72</v>
      </c>
      <c r="I17" s="56">
        <v>33.125</v>
      </c>
      <c r="J17" s="41" t="s">
        <v>81</v>
      </c>
    </row>
    <row r="18" spans="3:10" x14ac:dyDescent="0.35">
      <c r="C18" s="49" t="s">
        <v>137</v>
      </c>
      <c r="D18" s="11">
        <f>'Urabrask''s Refinery'!J12</f>
        <v>620</v>
      </c>
      <c r="E18" s="41" t="s">
        <v>191</v>
      </c>
      <c r="H18" s="2" t="s">
        <v>73</v>
      </c>
      <c r="I18" s="56">
        <v>61.6875</v>
      </c>
      <c r="J18" s="41" t="s">
        <v>81</v>
      </c>
    </row>
    <row r="19" spans="3:10" x14ac:dyDescent="0.35">
      <c r="C19" s="70" t="s">
        <v>87</v>
      </c>
      <c r="D19" s="8">
        <v>741</v>
      </c>
      <c r="E19" s="4" t="s">
        <v>258</v>
      </c>
      <c r="H19" s="2" t="s">
        <v>74</v>
      </c>
      <c r="I19" s="56">
        <v>7.25</v>
      </c>
      <c r="J19" s="41" t="s">
        <v>81</v>
      </c>
    </row>
    <row r="20" spans="3:10" x14ac:dyDescent="0.35">
      <c r="C20" s="70" t="s">
        <v>103</v>
      </c>
      <c r="D20" s="9">
        <v>101.07</v>
      </c>
      <c r="E20" s="4" t="s">
        <v>258</v>
      </c>
      <c r="H20" s="2" t="s">
        <v>75</v>
      </c>
      <c r="I20" s="56">
        <v>30</v>
      </c>
      <c r="J20" s="41" t="s">
        <v>81</v>
      </c>
    </row>
    <row r="21" spans="3:10" x14ac:dyDescent="0.35">
      <c r="C21" s="70" t="s">
        <v>374</v>
      </c>
      <c r="D21" s="9">
        <v>4.95</v>
      </c>
      <c r="E21" s="4" t="s">
        <v>258</v>
      </c>
      <c r="H21" s="2" t="s">
        <v>76</v>
      </c>
      <c r="I21" s="56">
        <v>45</v>
      </c>
      <c r="J21" s="41" t="s">
        <v>81</v>
      </c>
    </row>
    <row r="22" spans="3:10" x14ac:dyDescent="0.35">
      <c r="C22" s="6"/>
      <c r="D22" s="11"/>
      <c r="E22" s="41"/>
      <c r="H22" s="2" t="s">
        <v>77</v>
      </c>
      <c r="I22" s="56">
        <v>22.5</v>
      </c>
      <c r="J22" s="41" t="s">
        <v>81</v>
      </c>
    </row>
    <row r="23" spans="3:10" x14ac:dyDescent="0.35">
      <c r="C23" s="6"/>
      <c r="D23" s="11"/>
      <c r="E23" s="41"/>
      <c r="H23" s="2" t="s">
        <v>78</v>
      </c>
      <c r="I23" s="56">
        <v>20.5</v>
      </c>
      <c r="J23" s="41" t="s">
        <v>81</v>
      </c>
    </row>
    <row r="24" spans="3:10" x14ac:dyDescent="0.35">
      <c r="C24" s="6"/>
      <c r="D24" s="11"/>
      <c r="E24" s="41"/>
      <c r="H24" s="2" t="s">
        <v>79</v>
      </c>
      <c r="I24" s="56">
        <v>15</v>
      </c>
      <c r="J24" s="41" t="s">
        <v>81</v>
      </c>
    </row>
    <row r="25" spans="3:10" x14ac:dyDescent="0.35">
      <c r="C25" s="6"/>
      <c r="D25" s="11"/>
      <c r="E25" s="41"/>
      <c r="H25" s="2" t="s">
        <v>80</v>
      </c>
      <c r="I25" s="56">
        <v>25</v>
      </c>
      <c r="J25" s="41" t="s">
        <v>81</v>
      </c>
    </row>
    <row r="26" spans="3:10" x14ac:dyDescent="0.35">
      <c r="C26" s="6"/>
      <c r="D26" s="11"/>
      <c r="E26" s="41"/>
      <c r="H26" s="2" t="s">
        <v>86</v>
      </c>
      <c r="I26" s="56">
        <v>26.25</v>
      </c>
      <c r="J26" s="41" t="s">
        <v>85</v>
      </c>
    </row>
    <row r="27" spans="3:10" x14ac:dyDescent="0.35">
      <c r="C27" s="6"/>
      <c r="D27" s="11"/>
      <c r="E27" s="41"/>
      <c r="H27" s="2" t="s">
        <v>87</v>
      </c>
      <c r="I27" s="56">
        <v>19.443999999999999</v>
      </c>
      <c r="J27" s="41" t="s">
        <v>85</v>
      </c>
    </row>
    <row r="28" spans="3:10" x14ac:dyDescent="0.35">
      <c r="C28" s="6"/>
      <c r="D28" s="11"/>
      <c r="E28" s="41"/>
      <c r="H28" s="2" t="s">
        <v>98</v>
      </c>
      <c r="I28" s="56">
        <v>1.5</v>
      </c>
      <c r="J28" s="41" t="s">
        <v>90</v>
      </c>
    </row>
    <row r="29" spans="3:10" x14ac:dyDescent="0.35">
      <c r="C29" s="6"/>
      <c r="D29" s="11"/>
      <c r="E29" s="41"/>
      <c r="H29" s="2" t="s">
        <v>99</v>
      </c>
      <c r="I29" s="56">
        <v>1.5</v>
      </c>
      <c r="J29" s="41" t="s">
        <v>90</v>
      </c>
    </row>
    <row r="30" spans="3:10" x14ac:dyDescent="0.35">
      <c r="C30" s="6"/>
      <c r="D30" s="11"/>
      <c r="E30" s="41"/>
      <c r="H30" s="2" t="s">
        <v>100</v>
      </c>
      <c r="I30" s="56">
        <v>2.25</v>
      </c>
      <c r="J30" s="41" t="s">
        <v>90</v>
      </c>
    </row>
    <row r="31" spans="3:10" x14ac:dyDescent="0.35">
      <c r="C31" s="6"/>
      <c r="D31" s="11"/>
      <c r="E31" s="41"/>
      <c r="H31" s="2" t="s">
        <v>101</v>
      </c>
      <c r="I31" s="56">
        <v>3</v>
      </c>
      <c r="J31" s="41" t="s">
        <v>90</v>
      </c>
    </row>
    <row r="32" spans="3:10" x14ac:dyDescent="0.35">
      <c r="C32" s="6"/>
      <c r="D32" s="11"/>
      <c r="E32" s="41"/>
      <c r="H32" s="2" t="s">
        <v>102</v>
      </c>
      <c r="I32" s="56">
        <v>6</v>
      </c>
      <c r="J32" s="41" t="s">
        <v>90</v>
      </c>
    </row>
    <row r="33" spans="3:10" x14ac:dyDescent="0.35">
      <c r="C33" s="6"/>
      <c r="D33" s="11"/>
      <c r="E33" s="41"/>
      <c r="H33" s="2" t="s">
        <v>103</v>
      </c>
      <c r="I33" s="56">
        <v>25</v>
      </c>
      <c r="J33" s="41" t="s">
        <v>106</v>
      </c>
    </row>
    <row r="34" spans="3:10" x14ac:dyDescent="0.35">
      <c r="C34" s="6"/>
      <c r="D34" s="11"/>
      <c r="E34" s="41"/>
      <c r="H34" s="2" t="s">
        <v>104</v>
      </c>
      <c r="I34" s="56">
        <v>20</v>
      </c>
      <c r="J34" s="41" t="s">
        <v>106</v>
      </c>
    </row>
    <row r="35" spans="3:10" x14ac:dyDescent="0.35">
      <c r="C35" s="6"/>
      <c r="D35" s="11"/>
      <c r="E35" s="41"/>
      <c r="H35" s="2" t="s">
        <v>122</v>
      </c>
      <c r="I35" s="56">
        <v>0.5</v>
      </c>
      <c r="J35" s="41" t="s">
        <v>111</v>
      </c>
    </row>
    <row r="36" spans="3:10" x14ac:dyDescent="0.35">
      <c r="C36" s="6"/>
      <c r="D36" s="11"/>
      <c r="E36" s="41"/>
      <c r="H36" s="2" t="s">
        <v>123</v>
      </c>
      <c r="I36" s="56">
        <v>0.5</v>
      </c>
      <c r="J36" s="41" t="s">
        <v>111</v>
      </c>
    </row>
    <row r="37" spans="3:10" x14ac:dyDescent="0.35">
      <c r="C37" s="6"/>
      <c r="D37" s="11"/>
      <c r="E37" s="41"/>
      <c r="H37" s="2" t="s">
        <v>135</v>
      </c>
      <c r="I37" s="56">
        <v>49.332999999999998</v>
      </c>
      <c r="J37" s="41" t="s">
        <v>131</v>
      </c>
    </row>
    <row r="38" spans="3:10" ht="15" thickBot="1" x14ac:dyDescent="0.4">
      <c r="C38" s="7"/>
      <c r="D38" s="45"/>
      <c r="E38" s="43"/>
      <c r="H38" s="2" t="s">
        <v>136</v>
      </c>
      <c r="I38" s="56">
        <v>12</v>
      </c>
      <c r="J38" s="41" t="s">
        <v>131</v>
      </c>
    </row>
    <row r="39" spans="3:10" x14ac:dyDescent="0.35">
      <c r="H39" s="2" t="s">
        <v>137</v>
      </c>
      <c r="I39" s="56">
        <v>45</v>
      </c>
      <c r="J39" s="41" t="s">
        <v>131</v>
      </c>
    </row>
    <row r="40" spans="3:10" x14ac:dyDescent="0.35">
      <c r="H40" s="2" t="s">
        <v>138</v>
      </c>
      <c r="I40" s="56">
        <v>60.4375</v>
      </c>
      <c r="J40" s="41" t="s">
        <v>131</v>
      </c>
    </row>
    <row r="41" spans="3:10" x14ac:dyDescent="0.35">
      <c r="H41" s="39" t="s">
        <v>155</v>
      </c>
      <c r="I41" s="56">
        <v>9.5</v>
      </c>
      <c r="J41" s="41" t="s">
        <v>148</v>
      </c>
    </row>
    <row r="42" spans="3:10" x14ac:dyDescent="0.35">
      <c r="H42" s="39" t="s">
        <v>156</v>
      </c>
      <c r="I42" s="56">
        <v>8</v>
      </c>
      <c r="J42" s="41" t="s">
        <v>148</v>
      </c>
    </row>
    <row r="43" spans="3:10" x14ac:dyDescent="0.35">
      <c r="H43" s="2" t="s">
        <v>161</v>
      </c>
      <c r="I43" s="56">
        <v>5</v>
      </c>
      <c r="J43" s="41" t="s">
        <v>131</v>
      </c>
    </row>
    <row r="44" spans="3:10" x14ac:dyDescent="0.35">
      <c r="H44" s="2" t="s">
        <v>3</v>
      </c>
      <c r="I44" s="56">
        <v>10</v>
      </c>
      <c r="J44" s="41" t="s">
        <v>4</v>
      </c>
    </row>
    <row r="45" spans="3:10" x14ac:dyDescent="0.35">
      <c r="H45" s="39" t="s">
        <v>169</v>
      </c>
      <c r="I45" s="57">
        <v>6.25</v>
      </c>
      <c r="J45" s="42" t="s">
        <v>162</v>
      </c>
    </row>
    <row r="46" spans="3:10" x14ac:dyDescent="0.35">
      <c r="H46" s="39" t="s">
        <v>170</v>
      </c>
      <c r="I46" s="57">
        <v>12.5</v>
      </c>
      <c r="J46" s="42" t="s">
        <v>162</v>
      </c>
    </row>
    <row r="47" spans="3:10" x14ac:dyDescent="0.35">
      <c r="H47" s="39" t="s">
        <v>171</v>
      </c>
      <c r="I47" s="57">
        <f>'Jund Pyroclast'!J15</f>
        <v>142.10999999999999</v>
      </c>
      <c r="J47" s="42" t="s">
        <v>162</v>
      </c>
    </row>
    <row r="48" spans="3:10" x14ac:dyDescent="0.35">
      <c r="H48" s="39" t="s">
        <v>176</v>
      </c>
      <c r="I48" s="57">
        <v>2</v>
      </c>
      <c r="J48" s="41" t="s">
        <v>173</v>
      </c>
    </row>
    <row r="49" spans="8:10" x14ac:dyDescent="0.35">
      <c r="H49" s="39" t="s">
        <v>177</v>
      </c>
      <c r="I49" s="57">
        <v>2</v>
      </c>
      <c r="J49" s="41" t="s">
        <v>173</v>
      </c>
    </row>
    <row r="50" spans="8:10" x14ac:dyDescent="0.35">
      <c r="H50" s="39" t="s">
        <v>178</v>
      </c>
      <c r="I50" s="57">
        <v>2</v>
      </c>
      <c r="J50" s="41" t="s">
        <v>173</v>
      </c>
    </row>
    <row r="51" spans="8:10" x14ac:dyDescent="0.35">
      <c r="H51" s="39" t="s">
        <v>179</v>
      </c>
      <c r="I51" s="57">
        <v>2.5</v>
      </c>
      <c r="J51" s="41" t="s">
        <v>173</v>
      </c>
    </row>
    <row r="52" spans="8:10" x14ac:dyDescent="0.35">
      <c r="H52" s="39" t="s">
        <v>180</v>
      </c>
      <c r="I52" s="57">
        <v>2.5</v>
      </c>
      <c r="J52" s="41" t="s">
        <v>173</v>
      </c>
    </row>
    <row r="53" spans="8:10" x14ac:dyDescent="0.35">
      <c r="H53" s="39" t="s">
        <v>181</v>
      </c>
      <c r="I53" s="57">
        <v>5</v>
      </c>
      <c r="J53" s="41" t="s">
        <v>173</v>
      </c>
    </row>
    <row r="54" spans="8:10" x14ac:dyDescent="0.35">
      <c r="H54" s="39" t="s">
        <v>182</v>
      </c>
      <c r="I54" s="57">
        <v>5</v>
      </c>
      <c r="J54" s="41" t="s">
        <v>173</v>
      </c>
    </row>
    <row r="55" spans="8:10" x14ac:dyDescent="0.35">
      <c r="H55" s="39" t="s">
        <v>183</v>
      </c>
      <c r="I55" s="56">
        <v>5</v>
      </c>
      <c r="J55" s="41" t="s">
        <v>173</v>
      </c>
    </row>
    <row r="56" spans="8:10" x14ac:dyDescent="0.35">
      <c r="H56" s="39" t="s">
        <v>184</v>
      </c>
      <c r="I56" s="56">
        <v>5</v>
      </c>
      <c r="J56" s="41" t="s">
        <v>173</v>
      </c>
    </row>
    <row r="57" spans="8:10" x14ac:dyDescent="0.35">
      <c r="H57" s="39" t="s">
        <v>185</v>
      </c>
      <c r="I57" s="56">
        <v>5</v>
      </c>
      <c r="J57" s="41" t="s">
        <v>173</v>
      </c>
    </row>
    <row r="58" spans="8:10" x14ac:dyDescent="0.35">
      <c r="H58" s="39" t="s">
        <v>186</v>
      </c>
      <c r="I58" s="56">
        <v>5</v>
      </c>
      <c r="J58" s="41" t="s">
        <v>173</v>
      </c>
    </row>
    <row r="59" spans="8:10" x14ac:dyDescent="0.35">
      <c r="H59" s="39" t="s">
        <v>187</v>
      </c>
      <c r="I59" s="56">
        <v>5</v>
      </c>
      <c r="J59" s="41" t="s">
        <v>173</v>
      </c>
    </row>
    <row r="60" spans="8:10" x14ac:dyDescent="0.35">
      <c r="H60" s="39" t="s">
        <v>188</v>
      </c>
      <c r="I60" s="56">
        <v>5</v>
      </c>
      <c r="J60" s="41" t="s">
        <v>173</v>
      </c>
    </row>
    <row r="61" spans="8:10" x14ac:dyDescent="0.35">
      <c r="H61" s="39" t="s">
        <v>189</v>
      </c>
      <c r="I61" s="56">
        <v>11.41666</v>
      </c>
      <c r="J61" s="41" t="s">
        <v>173</v>
      </c>
    </row>
    <row r="62" spans="8:10" x14ac:dyDescent="0.35">
      <c r="H62" s="2" t="s">
        <v>53</v>
      </c>
      <c r="I62" s="56">
        <v>4.5670000000000002</v>
      </c>
      <c r="J62" s="41" t="s">
        <v>205</v>
      </c>
    </row>
    <row r="63" spans="8:10" x14ac:dyDescent="0.35">
      <c r="H63" s="39" t="s">
        <v>215</v>
      </c>
      <c r="I63" s="57">
        <v>5</v>
      </c>
      <c r="J63" s="41" t="s">
        <v>203</v>
      </c>
    </row>
    <row r="64" spans="8:10" x14ac:dyDescent="0.35">
      <c r="H64" s="39" t="s">
        <v>216</v>
      </c>
      <c r="I64" s="57">
        <v>2.5</v>
      </c>
      <c r="J64" s="41" t="s">
        <v>203</v>
      </c>
    </row>
    <row r="65" spans="3:10" x14ac:dyDescent="0.35">
      <c r="H65" s="39" t="s">
        <v>217</v>
      </c>
      <c r="I65" s="57">
        <v>2</v>
      </c>
      <c r="J65" s="41" t="s">
        <v>203</v>
      </c>
    </row>
    <row r="66" spans="3:10" x14ac:dyDescent="0.35">
      <c r="H66" s="39" t="s">
        <v>218</v>
      </c>
      <c r="I66" s="57">
        <v>2</v>
      </c>
      <c r="J66" s="41" t="s">
        <v>203</v>
      </c>
    </row>
    <row r="67" spans="3:10" x14ac:dyDescent="0.35">
      <c r="H67" s="39" t="s">
        <v>219</v>
      </c>
      <c r="I67" s="57">
        <v>2</v>
      </c>
      <c r="J67" s="41" t="s">
        <v>203</v>
      </c>
    </row>
    <row r="68" spans="3:10" x14ac:dyDescent="0.35">
      <c r="C68" s="1"/>
      <c r="H68" s="39" t="s">
        <v>220</v>
      </c>
      <c r="I68" s="57">
        <v>1</v>
      </c>
      <c r="J68" s="41" t="s">
        <v>203</v>
      </c>
    </row>
    <row r="69" spans="3:10" x14ac:dyDescent="0.35">
      <c r="C69" s="1"/>
      <c r="H69" s="39" t="s">
        <v>229</v>
      </c>
      <c r="I69" s="8">
        <f>5/8</f>
        <v>0.625</v>
      </c>
      <c r="J69" s="4" t="s">
        <v>221</v>
      </c>
    </row>
    <row r="70" spans="3:10" x14ac:dyDescent="0.35">
      <c r="C70" s="1"/>
      <c r="H70" s="39" t="s">
        <v>230</v>
      </c>
      <c r="I70" s="9">
        <v>1</v>
      </c>
      <c r="J70" s="4" t="s">
        <v>221</v>
      </c>
    </row>
    <row r="71" spans="3:10" x14ac:dyDescent="0.35">
      <c r="H71" s="39" t="s">
        <v>231</v>
      </c>
      <c r="I71" s="9">
        <v>0.5</v>
      </c>
      <c r="J71" s="4" t="s">
        <v>221</v>
      </c>
    </row>
    <row r="72" spans="3:10" x14ac:dyDescent="0.35">
      <c r="H72" s="39" t="s">
        <v>232</v>
      </c>
      <c r="I72" s="9">
        <v>3.5</v>
      </c>
      <c r="J72" s="4" t="s">
        <v>221</v>
      </c>
    </row>
    <row r="73" spans="3:10" x14ac:dyDescent="0.35">
      <c r="H73" s="39" t="s">
        <v>233</v>
      </c>
      <c r="I73" s="9">
        <v>0.5</v>
      </c>
      <c r="J73" s="4" t="s">
        <v>221</v>
      </c>
    </row>
    <row r="74" spans="3:10" x14ac:dyDescent="0.35">
      <c r="H74" s="39" t="s">
        <v>239</v>
      </c>
      <c r="I74" s="8">
        <v>20</v>
      </c>
      <c r="J74" s="4" t="s">
        <v>234</v>
      </c>
    </row>
    <row r="75" spans="3:10" x14ac:dyDescent="0.35">
      <c r="H75" s="39" t="s">
        <v>240</v>
      </c>
      <c r="I75" s="9">
        <v>0.5</v>
      </c>
      <c r="J75" s="4" t="s">
        <v>234</v>
      </c>
    </row>
    <row r="76" spans="3:10" x14ac:dyDescent="0.35">
      <c r="H76" s="39" t="s">
        <v>241</v>
      </c>
      <c r="I76" s="9">
        <v>0.5</v>
      </c>
      <c r="J76" s="4" t="s">
        <v>234</v>
      </c>
    </row>
    <row r="77" spans="3:10" x14ac:dyDescent="0.35">
      <c r="C77" s="1"/>
      <c r="H77" s="39" t="s">
        <v>255</v>
      </c>
      <c r="I77" s="9">
        <v>1.5625</v>
      </c>
      <c r="J77" s="4" t="s">
        <v>258</v>
      </c>
    </row>
    <row r="78" spans="3:10" x14ac:dyDescent="0.35">
      <c r="C78" s="1"/>
      <c r="H78" s="39" t="s">
        <v>256</v>
      </c>
      <c r="I78" s="9">
        <v>1.5625</v>
      </c>
      <c r="J78" s="4" t="s">
        <v>258</v>
      </c>
    </row>
    <row r="79" spans="3:10" x14ac:dyDescent="0.35">
      <c r="C79" s="1"/>
      <c r="H79" s="70" t="s">
        <v>373</v>
      </c>
      <c r="I79" s="9">
        <v>11.52</v>
      </c>
      <c r="J79" s="4" t="s">
        <v>258</v>
      </c>
    </row>
    <row r="80" spans="3:10" x14ac:dyDescent="0.35">
      <c r="C80" s="1"/>
      <c r="H80" s="70" t="s">
        <v>333</v>
      </c>
      <c r="I80" s="9">
        <v>10</v>
      </c>
      <c r="J80" s="4" t="s">
        <v>258</v>
      </c>
    </row>
    <row r="81" spans="2:10" x14ac:dyDescent="0.35">
      <c r="C81" s="1"/>
      <c r="H81" s="70" t="s">
        <v>354</v>
      </c>
      <c r="I81" s="9">
        <v>5</v>
      </c>
      <c r="J81" s="4" t="s">
        <v>258</v>
      </c>
    </row>
    <row r="82" spans="2:10" x14ac:dyDescent="0.35">
      <c r="C82" s="1"/>
      <c r="H82" s="70" t="s">
        <v>355</v>
      </c>
      <c r="I82" s="9">
        <v>4.2</v>
      </c>
      <c r="J82" s="4" t="s">
        <v>258</v>
      </c>
    </row>
    <row r="83" spans="2:10" x14ac:dyDescent="0.35">
      <c r="H83" s="39" t="s">
        <v>329</v>
      </c>
      <c r="I83" s="9">
        <v>2.73</v>
      </c>
      <c r="J83" s="4" t="s">
        <v>258</v>
      </c>
    </row>
    <row r="84" spans="2:10" x14ac:dyDescent="0.35">
      <c r="H84" s="39" t="s">
        <v>327</v>
      </c>
      <c r="I84" s="9">
        <v>2.73</v>
      </c>
      <c r="J84" s="4" t="s">
        <v>258</v>
      </c>
    </row>
    <row r="85" spans="2:10" x14ac:dyDescent="0.35">
      <c r="H85" s="39" t="s">
        <v>334</v>
      </c>
      <c r="I85" s="9">
        <v>1.54</v>
      </c>
      <c r="J85" s="4" t="s">
        <v>258</v>
      </c>
    </row>
    <row r="86" spans="2:10" x14ac:dyDescent="0.35">
      <c r="H86" s="39" t="s">
        <v>357</v>
      </c>
      <c r="I86" s="9">
        <v>1</v>
      </c>
      <c r="J86" s="4" t="s">
        <v>258</v>
      </c>
    </row>
    <row r="87" spans="2:10" x14ac:dyDescent="0.35">
      <c r="H87" s="39" t="s">
        <v>314</v>
      </c>
      <c r="I87" s="9">
        <v>0.25</v>
      </c>
      <c r="J87" s="4" t="s">
        <v>258</v>
      </c>
    </row>
    <row r="88" spans="2:10" x14ac:dyDescent="0.35">
      <c r="B88" s="1"/>
      <c r="C88" s="1"/>
      <c r="D88"/>
      <c r="H88" s="39" t="s">
        <v>364</v>
      </c>
      <c r="I88" s="9">
        <v>0.21</v>
      </c>
      <c r="J88" s="4" t="s">
        <v>258</v>
      </c>
    </row>
    <row r="89" spans="2:10" x14ac:dyDescent="0.35">
      <c r="B89" s="1"/>
      <c r="C89" s="1"/>
      <c r="D89"/>
      <c r="H89" s="70" t="s">
        <v>402</v>
      </c>
      <c r="I89" s="8">
        <v>5</v>
      </c>
      <c r="J89" s="4" t="s">
        <v>395</v>
      </c>
    </row>
    <row r="90" spans="2:10" x14ac:dyDescent="0.35">
      <c r="B90" s="1"/>
      <c r="C90" s="1"/>
      <c r="D90"/>
      <c r="H90" s="70" t="s">
        <v>406</v>
      </c>
      <c r="I90" s="9">
        <v>1.75</v>
      </c>
      <c r="J90" s="4" t="s">
        <v>395</v>
      </c>
    </row>
    <row r="91" spans="2:10" x14ac:dyDescent="0.35">
      <c r="B91" s="1"/>
      <c r="C91" s="1"/>
      <c r="D91"/>
      <c r="H91" s="70" t="s">
        <v>407</v>
      </c>
      <c r="I91" s="9">
        <v>2.91</v>
      </c>
      <c r="J91" s="4" t="s">
        <v>395</v>
      </c>
    </row>
    <row r="92" spans="2:10" x14ac:dyDescent="0.35">
      <c r="B92" s="1"/>
      <c r="C92" s="1"/>
      <c r="D92"/>
      <c r="H92" s="70" t="s">
        <v>408</v>
      </c>
      <c r="I92" s="9">
        <v>2.83</v>
      </c>
      <c r="J92" s="4" t="s">
        <v>395</v>
      </c>
    </row>
    <row r="93" spans="2:10" x14ac:dyDescent="0.35">
      <c r="H93" s="70" t="s">
        <v>409</v>
      </c>
      <c r="I93" s="9">
        <f>857+17/90</f>
        <v>857.18888888888887</v>
      </c>
      <c r="J93" s="4" t="s">
        <v>395</v>
      </c>
    </row>
    <row r="94" spans="2:10" x14ac:dyDescent="0.35">
      <c r="B94" s="1"/>
      <c r="C94" s="1"/>
      <c r="D94"/>
      <c r="H94" s="2"/>
      <c r="I94" s="56"/>
      <c r="J94" s="41"/>
    </row>
    <row r="95" spans="2:10" x14ac:dyDescent="0.35">
      <c r="B95" s="1"/>
      <c r="C95" s="1"/>
      <c r="D95"/>
      <c r="H95" s="2"/>
      <c r="I95" s="56"/>
      <c r="J95" s="41"/>
    </row>
    <row r="96" spans="2:10" ht="15" thickBot="1" x14ac:dyDescent="0.4">
      <c r="B96" s="1"/>
      <c r="C96" s="1"/>
      <c r="D96"/>
      <c r="H96" s="3"/>
      <c r="I96" s="58"/>
      <c r="J96" s="43"/>
    </row>
    <row r="97" spans="2:4" x14ac:dyDescent="0.35">
      <c r="B97" s="1"/>
      <c r="C97" s="1"/>
      <c r="D97"/>
    </row>
    <row r="98" spans="2:4" x14ac:dyDescent="0.35">
      <c r="B98" s="1"/>
      <c r="C98" s="1"/>
      <c r="D98"/>
    </row>
    <row r="99" spans="2:4" x14ac:dyDescent="0.35">
      <c r="B99" s="1"/>
      <c r="C99" s="1"/>
      <c r="D99"/>
    </row>
    <row r="100" spans="2:4" x14ac:dyDescent="0.35">
      <c r="B100" s="1"/>
      <c r="C100" s="1"/>
      <c r="D100"/>
    </row>
  </sheetData>
  <sortState xmlns:xlrd2="http://schemas.microsoft.com/office/spreadsheetml/2017/richdata2" ref="C6:E18">
    <sortCondition ref="C6:C18"/>
  </sortState>
  <mergeCells count="2">
    <mergeCell ref="C4:E4"/>
    <mergeCell ref="H4:J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08C4-E9DD-438E-A79A-D3E0D96AB566}">
  <dimension ref="B1:L44"/>
  <sheetViews>
    <sheetView topLeftCell="A4" workbookViewId="0">
      <selection activeCell="C11" sqref="C11:C12"/>
    </sheetView>
  </sheetViews>
  <sheetFormatPr defaultRowHeight="14.5" x14ac:dyDescent="0.35"/>
  <cols>
    <col min="2" max="2" width="17.81640625" bestFit="1" customWidth="1"/>
    <col min="3" max="3" width="27" bestFit="1" customWidth="1"/>
    <col min="5" max="5" width="12" bestFit="1" customWidth="1"/>
    <col min="6" max="6" width="7.81640625" bestFit="1" customWidth="1"/>
    <col min="7" max="7" width="16" bestFit="1" customWidth="1"/>
    <col min="10" max="10" width="19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111</v>
      </c>
    </row>
    <row r="3" spans="2:12" ht="29" x14ac:dyDescent="0.35">
      <c r="B3" s="27" t="s">
        <v>10</v>
      </c>
      <c r="C3" s="28" t="s">
        <v>124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125</v>
      </c>
    </row>
    <row r="7" spans="2:12" x14ac:dyDescent="0.35">
      <c r="B7" s="21" t="s">
        <v>14</v>
      </c>
      <c r="C7" s="25" t="s">
        <v>126</v>
      </c>
    </row>
    <row r="8" spans="2:12" x14ac:dyDescent="0.35">
      <c r="B8" s="21" t="s">
        <v>31</v>
      </c>
      <c r="C8" s="25" t="s">
        <v>127</v>
      </c>
    </row>
    <row r="9" spans="2:12" ht="15" thickBot="1" x14ac:dyDescent="0.4">
      <c r="B9" s="22" t="s">
        <v>32</v>
      </c>
      <c r="C9" s="26" t="s">
        <v>128</v>
      </c>
    </row>
    <row r="10" spans="2:12" ht="15" thickBot="1" x14ac:dyDescent="0.4">
      <c r="C10" s="23"/>
      <c r="E10" s="92" t="s">
        <v>15</v>
      </c>
      <c r="F10" s="93"/>
      <c r="G10" s="94"/>
      <c r="J10" s="92" t="s">
        <v>16</v>
      </c>
      <c r="K10" s="93"/>
      <c r="L10" s="94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61</v>
      </c>
      <c r="F12" s="8">
        <v>18.75</v>
      </c>
      <c r="G12" s="4" t="s">
        <v>60</v>
      </c>
      <c r="J12" s="4" t="s">
        <v>123</v>
      </c>
      <c r="K12" s="8">
        <v>0.5</v>
      </c>
      <c r="L12" s="4" t="s">
        <v>8</v>
      </c>
    </row>
    <row r="13" spans="2:12" x14ac:dyDescent="0.35">
      <c r="C13" s="23"/>
      <c r="E13" s="2" t="s">
        <v>19</v>
      </c>
      <c r="F13" s="9">
        <v>28.625</v>
      </c>
      <c r="G13" s="4" t="s">
        <v>62</v>
      </c>
      <c r="J13" s="4" t="s">
        <v>122</v>
      </c>
      <c r="K13" s="9">
        <v>0.5</v>
      </c>
      <c r="L13" s="4" t="s">
        <v>8</v>
      </c>
    </row>
    <row r="14" spans="2:12" x14ac:dyDescent="0.35">
      <c r="C14" s="23"/>
      <c r="E14" s="2" t="s">
        <v>43</v>
      </c>
      <c r="F14" s="9">
        <v>113.833</v>
      </c>
      <c r="G14" s="2" t="s">
        <v>44</v>
      </c>
      <c r="J14" s="4"/>
      <c r="K14" s="9"/>
      <c r="L14" s="4"/>
    </row>
    <row r="15" spans="2:12" x14ac:dyDescent="0.35">
      <c r="C15" s="23"/>
      <c r="E15" s="2" t="s">
        <v>41</v>
      </c>
      <c r="F15" s="9">
        <v>234.25</v>
      </c>
      <c r="G15" s="2" t="s">
        <v>42</v>
      </c>
      <c r="J15" s="4"/>
      <c r="K15" s="9"/>
      <c r="L15" s="4"/>
    </row>
    <row r="16" spans="2:12" x14ac:dyDescent="0.35">
      <c r="C16" s="23"/>
      <c r="E16" s="2" t="s">
        <v>5</v>
      </c>
      <c r="F16" s="9">
        <v>42</v>
      </c>
      <c r="G16" s="2" t="s">
        <v>106</v>
      </c>
      <c r="J16" s="4"/>
      <c r="K16" s="9"/>
      <c r="L16" s="4"/>
    </row>
    <row r="17" spans="3:12" x14ac:dyDescent="0.35">
      <c r="C17" s="23"/>
      <c r="E17" s="2" t="s">
        <v>103</v>
      </c>
      <c r="F17" s="9">
        <v>7.5</v>
      </c>
      <c r="G17" s="2" t="s">
        <v>106</v>
      </c>
      <c r="J17" s="4"/>
      <c r="K17" s="9"/>
      <c r="L17" s="4"/>
    </row>
    <row r="18" spans="3:12" x14ac:dyDescent="0.35">
      <c r="C18" s="23"/>
      <c r="E18" s="2"/>
      <c r="F18" s="9"/>
      <c r="G18" s="2"/>
      <c r="J18" s="4"/>
      <c r="K18" s="9"/>
      <c r="L18" s="4"/>
    </row>
    <row r="19" spans="3:12" x14ac:dyDescent="0.35">
      <c r="C19" s="23"/>
      <c r="E19" s="2"/>
      <c r="F19" s="9"/>
      <c r="G19" s="2"/>
      <c r="J19" s="2"/>
      <c r="K19" s="9"/>
      <c r="L19" s="4"/>
    </row>
    <row r="20" spans="3:12" x14ac:dyDescent="0.35">
      <c r="C20" s="23"/>
      <c r="E20" s="2"/>
      <c r="F20" s="9"/>
      <c r="G20" s="2"/>
      <c r="J20" s="2"/>
      <c r="K20" s="9"/>
      <c r="L20" s="4"/>
    </row>
    <row r="21" spans="3:12" x14ac:dyDescent="0.35">
      <c r="C21" s="23"/>
      <c r="E21" s="2"/>
      <c r="F21" s="9"/>
      <c r="G21" s="2"/>
      <c r="J21" s="2"/>
      <c r="K21" s="9"/>
      <c r="L21" s="4"/>
    </row>
    <row r="22" spans="3:12" x14ac:dyDescent="0.35">
      <c r="C22" s="23"/>
      <c r="E22" s="2"/>
      <c r="F22" s="9"/>
      <c r="G22" s="2"/>
      <c r="J22" s="2"/>
      <c r="K22" s="9"/>
      <c r="L22" s="4"/>
    </row>
    <row r="23" spans="3:12" x14ac:dyDescent="0.35">
      <c r="C23" s="23"/>
      <c r="E23" s="2"/>
      <c r="F23" s="9"/>
      <c r="G23" s="2"/>
      <c r="J23" s="2"/>
      <c r="K23" s="9"/>
      <c r="L23" s="4"/>
    </row>
    <row r="24" spans="3:12" x14ac:dyDescent="0.35">
      <c r="C24" s="23"/>
      <c r="E24" s="2"/>
      <c r="F24" s="9"/>
      <c r="G24" s="2"/>
      <c r="J24" s="2"/>
      <c r="K24" s="9"/>
      <c r="L24" s="4"/>
    </row>
    <row r="25" spans="3:12" x14ac:dyDescent="0.35">
      <c r="C25" s="23"/>
      <c r="E25" s="2"/>
      <c r="F25" s="9"/>
      <c r="G25" s="2"/>
      <c r="J25" s="2"/>
      <c r="K25" s="9"/>
      <c r="L25" s="4"/>
    </row>
    <row r="26" spans="3:12" x14ac:dyDescent="0.35">
      <c r="C26" s="23"/>
      <c r="E26" s="2"/>
      <c r="F26" s="9"/>
      <c r="G26" s="2"/>
      <c r="J26" s="2"/>
      <c r="K26" s="9"/>
      <c r="L26" s="4"/>
    </row>
    <row r="27" spans="3:12" x14ac:dyDescent="0.35">
      <c r="C27" s="23"/>
      <c r="E27" s="2"/>
      <c r="F27" s="9"/>
      <c r="G27" s="2"/>
      <c r="J27" s="2"/>
      <c r="K27" s="9"/>
      <c r="L27" s="4"/>
    </row>
    <row r="28" spans="3:12" x14ac:dyDescent="0.35">
      <c r="C28" s="23"/>
      <c r="E28" s="2"/>
      <c r="F28" s="9"/>
      <c r="G28" s="2"/>
      <c r="J28" s="2"/>
      <c r="K28" s="9"/>
      <c r="L28" s="4"/>
    </row>
    <row r="29" spans="3:12" x14ac:dyDescent="0.35">
      <c r="C29" s="23"/>
      <c r="E29" s="2"/>
      <c r="F29" s="9"/>
      <c r="G29" s="2"/>
      <c r="J29" s="2"/>
      <c r="K29" s="9"/>
      <c r="L29" s="4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D9F1-0099-4C27-8F14-6139C4B3501A}">
  <dimension ref="B1:T44"/>
  <sheetViews>
    <sheetView topLeftCell="E1" workbookViewId="0">
      <selection activeCell="O23" sqref="O23:T26"/>
    </sheetView>
  </sheetViews>
  <sheetFormatPr defaultRowHeight="14.5" x14ac:dyDescent="0.35"/>
  <cols>
    <col min="2" max="2" width="17.81640625" bestFit="1" customWidth="1"/>
    <col min="3" max="3" width="22.6328125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8.26953125" customWidth="1"/>
    <col min="12" max="12" width="27" bestFit="1" customWidth="1"/>
    <col min="13" max="13" width="10.1796875" bestFit="1" customWidth="1"/>
  </cols>
  <sheetData>
    <row r="1" spans="2:20" ht="15" thickBot="1" x14ac:dyDescent="0.4"/>
    <row r="2" spans="2:20" x14ac:dyDescent="0.35">
      <c r="B2" s="20" t="s">
        <v>9</v>
      </c>
      <c r="C2" s="24" t="s">
        <v>106</v>
      </c>
    </row>
    <row r="3" spans="2:20" x14ac:dyDescent="0.35">
      <c r="B3" s="27" t="s">
        <v>10</v>
      </c>
      <c r="C3" s="28" t="s">
        <v>27</v>
      </c>
    </row>
    <row r="4" spans="2:20" ht="72.5" x14ac:dyDescent="0.35">
      <c r="B4" s="29" t="s">
        <v>11</v>
      </c>
      <c r="C4" s="31" t="s">
        <v>261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107</v>
      </c>
    </row>
    <row r="7" spans="2:20" x14ac:dyDescent="0.35">
      <c r="B7" s="21" t="s">
        <v>14</v>
      </c>
      <c r="C7" s="25" t="s">
        <v>108</v>
      </c>
    </row>
    <row r="8" spans="2:20" x14ac:dyDescent="0.35">
      <c r="B8" s="21" t="s">
        <v>31</v>
      </c>
      <c r="C8" s="25" t="s">
        <v>47</v>
      </c>
    </row>
    <row r="9" spans="2:20" ht="15" thickBot="1" x14ac:dyDescent="0.4">
      <c r="B9" s="22" t="s">
        <v>32</v>
      </c>
      <c r="C9" s="26" t="s">
        <v>109</v>
      </c>
    </row>
    <row r="10" spans="2:20" ht="15" thickBot="1" x14ac:dyDescent="0.4">
      <c r="C10" s="23"/>
      <c r="E10" s="92" t="s">
        <v>15</v>
      </c>
      <c r="F10" s="93"/>
      <c r="G10" s="94"/>
      <c r="J10" s="92" t="s">
        <v>16</v>
      </c>
      <c r="K10" s="93"/>
      <c r="L10" s="93"/>
      <c r="M10" s="94"/>
    </row>
    <row r="11" spans="2:20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  <c r="M11" s="34" t="s">
        <v>112</v>
      </c>
    </row>
    <row r="12" spans="2:20" x14ac:dyDescent="0.35">
      <c r="C12" s="23"/>
      <c r="E12" s="4" t="s">
        <v>105</v>
      </c>
      <c r="F12" s="8">
        <v>300</v>
      </c>
      <c r="G12" s="4" t="s">
        <v>23</v>
      </c>
      <c r="J12" s="4" t="s">
        <v>103</v>
      </c>
      <c r="K12" s="8">
        <v>25</v>
      </c>
      <c r="L12" s="4" t="s">
        <v>8</v>
      </c>
      <c r="M12" s="19"/>
      <c r="O12" s="95" t="s">
        <v>121</v>
      </c>
      <c r="P12" s="95"/>
      <c r="Q12" s="95"/>
      <c r="R12" s="95"/>
      <c r="S12" s="95"/>
      <c r="T12" s="95"/>
    </row>
    <row r="13" spans="2:20" x14ac:dyDescent="0.35">
      <c r="C13" s="23"/>
      <c r="E13" s="2" t="s">
        <v>19</v>
      </c>
      <c r="F13" s="9">
        <v>1000</v>
      </c>
      <c r="G13" s="4" t="s">
        <v>19</v>
      </c>
      <c r="J13" s="4" t="s">
        <v>103</v>
      </c>
      <c r="K13" s="9">
        <f>500-K12-K16-K18-K20-K21-K22</f>
        <v>42.745490196078421</v>
      </c>
      <c r="L13" s="4" t="s">
        <v>25</v>
      </c>
      <c r="M13" s="2"/>
      <c r="O13" s="95"/>
      <c r="P13" s="95"/>
      <c r="Q13" s="95"/>
      <c r="R13" s="95"/>
      <c r="S13" s="95"/>
      <c r="T13" s="95"/>
    </row>
    <row r="14" spans="2:20" x14ac:dyDescent="0.35">
      <c r="C14" s="23"/>
      <c r="E14" s="2"/>
      <c r="F14" s="9"/>
      <c r="G14" s="4"/>
      <c r="J14" s="4" t="s">
        <v>5</v>
      </c>
      <c r="K14" s="9">
        <v>68</v>
      </c>
      <c r="L14" s="4" t="s">
        <v>25</v>
      </c>
      <c r="M14" s="2"/>
      <c r="O14" s="95"/>
      <c r="P14" s="95"/>
      <c r="Q14" s="95"/>
      <c r="R14" s="95"/>
      <c r="S14" s="95"/>
      <c r="T14" s="95"/>
    </row>
    <row r="15" spans="2:20" x14ac:dyDescent="0.35">
      <c r="C15" s="23"/>
      <c r="E15" s="2"/>
      <c r="F15" s="9"/>
      <c r="G15" s="2"/>
      <c r="J15" s="4" t="s">
        <v>104</v>
      </c>
      <c r="K15" s="9">
        <v>20</v>
      </c>
      <c r="L15" s="4" t="s">
        <v>8</v>
      </c>
      <c r="M15" s="2"/>
      <c r="O15" s="95"/>
      <c r="P15" s="95"/>
      <c r="Q15" s="95"/>
      <c r="R15" s="95"/>
      <c r="S15" s="95"/>
      <c r="T15" s="95"/>
    </row>
    <row r="16" spans="2:20" x14ac:dyDescent="0.35">
      <c r="C16" s="23"/>
      <c r="E16" s="2"/>
      <c r="F16" s="9"/>
      <c r="G16" s="2"/>
      <c r="J16" s="4" t="s">
        <v>103</v>
      </c>
      <c r="K16" s="9">
        <v>7.5</v>
      </c>
      <c r="L16" s="4" t="s">
        <v>111</v>
      </c>
      <c r="M16" s="2"/>
      <c r="O16" s="95" t="s">
        <v>120</v>
      </c>
      <c r="P16" s="95"/>
      <c r="Q16" s="95"/>
      <c r="R16" s="95"/>
      <c r="S16" s="95"/>
      <c r="T16" s="95"/>
    </row>
    <row r="17" spans="3:20" x14ac:dyDescent="0.35">
      <c r="C17" s="23"/>
      <c r="E17" s="2"/>
      <c r="F17" s="9"/>
      <c r="G17" s="2"/>
      <c r="J17" s="4" t="s">
        <v>5</v>
      </c>
      <c r="K17" s="9">
        <v>42</v>
      </c>
      <c r="L17" s="4" t="s">
        <v>111</v>
      </c>
      <c r="M17" s="2"/>
      <c r="O17" s="95"/>
      <c r="P17" s="95"/>
      <c r="Q17" s="95"/>
      <c r="R17" s="95"/>
      <c r="S17" s="95"/>
      <c r="T17" s="95"/>
    </row>
    <row r="18" spans="3:20" x14ac:dyDescent="0.35">
      <c r="C18" s="23"/>
      <c r="E18" s="2"/>
      <c r="F18" s="9"/>
      <c r="G18" s="2"/>
      <c r="J18" s="4" t="s">
        <v>103</v>
      </c>
      <c r="K18" s="9">
        <v>210</v>
      </c>
      <c r="L18" s="4" t="s">
        <v>148</v>
      </c>
      <c r="M18" s="2"/>
      <c r="O18" s="95"/>
      <c r="P18" s="95"/>
      <c r="Q18" s="95"/>
      <c r="R18" s="95"/>
      <c r="S18" s="95"/>
      <c r="T18" s="95"/>
    </row>
    <row r="19" spans="3:20" x14ac:dyDescent="0.35">
      <c r="C19" s="23"/>
      <c r="E19" s="2"/>
      <c r="F19" s="9"/>
      <c r="G19" s="2"/>
      <c r="J19" s="2" t="s">
        <v>5</v>
      </c>
      <c r="K19" s="9">
        <v>280</v>
      </c>
      <c r="L19" s="4" t="s">
        <v>148</v>
      </c>
      <c r="M19" s="2"/>
      <c r="O19" s="95"/>
      <c r="P19" s="95"/>
      <c r="Q19" s="95"/>
      <c r="R19" s="95"/>
      <c r="S19" s="95"/>
      <c r="T19" s="95"/>
    </row>
    <row r="20" spans="3:20" x14ac:dyDescent="0.35">
      <c r="C20" s="23"/>
      <c r="E20" s="2"/>
      <c r="F20" s="9"/>
      <c r="G20" s="2"/>
      <c r="J20" s="2" t="s">
        <v>103</v>
      </c>
      <c r="K20" s="9">
        <v>2.8</v>
      </c>
      <c r="L20" s="4" t="s">
        <v>173</v>
      </c>
      <c r="M20" s="2"/>
    </row>
    <row r="21" spans="3:20" x14ac:dyDescent="0.35">
      <c r="C21" s="23"/>
      <c r="E21" s="2"/>
      <c r="F21" s="9"/>
      <c r="G21" s="2"/>
      <c r="J21" s="2" t="s">
        <v>103</v>
      </c>
      <c r="K21" s="9">
        <v>109.5</v>
      </c>
      <c r="L21" s="4" t="s">
        <v>203</v>
      </c>
      <c r="M21" s="2"/>
      <c r="O21" s="96" t="s">
        <v>147</v>
      </c>
      <c r="P21" s="96"/>
      <c r="Q21" s="96"/>
      <c r="R21" s="96"/>
      <c r="S21" s="96"/>
      <c r="T21" s="96"/>
    </row>
    <row r="22" spans="3:20" x14ac:dyDescent="0.35">
      <c r="C22" s="23"/>
      <c r="E22" s="2"/>
      <c r="F22" s="9"/>
      <c r="G22" s="2"/>
      <c r="J22" s="2" t="s">
        <v>103</v>
      </c>
      <c r="K22" s="9">
        <f>79+19/50+23+19/255</f>
        <v>102.45450980392157</v>
      </c>
      <c r="L22" s="4" t="s">
        <v>258</v>
      </c>
      <c r="M22" s="2"/>
    </row>
    <row r="23" spans="3:20" x14ac:dyDescent="0.35">
      <c r="C23" s="23"/>
      <c r="E23" s="2"/>
      <c r="F23" s="9"/>
      <c r="G23" s="2"/>
      <c r="J23" s="2"/>
      <c r="K23" s="9"/>
      <c r="L23" s="4"/>
      <c r="M23" s="2"/>
      <c r="O23" s="95" t="s">
        <v>272</v>
      </c>
      <c r="P23" s="95"/>
      <c r="Q23" s="95"/>
      <c r="R23" s="95"/>
      <c r="S23" s="95"/>
      <c r="T23" s="95"/>
    </row>
    <row r="24" spans="3:20" x14ac:dyDescent="0.35">
      <c r="C24" s="23"/>
      <c r="E24" s="2"/>
      <c r="F24" s="9"/>
      <c r="G24" s="2"/>
      <c r="J24" s="2"/>
      <c r="K24" s="9"/>
      <c r="L24" s="4"/>
      <c r="M24" s="2"/>
      <c r="O24" s="95"/>
      <c r="P24" s="95"/>
      <c r="Q24" s="95"/>
      <c r="R24" s="95"/>
      <c r="S24" s="95"/>
      <c r="T24" s="95"/>
    </row>
    <row r="25" spans="3:20" x14ac:dyDescent="0.35">
      <c r="C25" s="23"/>
      <c r="E25" s="2"/>
      <c r="F25" s="9"/>
      <c r="G25" s="2"/>
      <c r="J25" s="2"/>
      <c r="K25" s="9"/>
      <c r="L25" s="4"/>
      <c r="M25" s="2"/>
      <c r="O25" s="95"/>
      <c r="P25" s="95"/>
      <c r="Q25" s="95"/>
      <c r="R25" s="95"/>
      <c r="S25" s="95"/>
      <c r="T25" s="95"/>
    </row>
    <row r="26" spans="3:20" x14ac:dyDescent="0.35">
      <c r="C26" s="23"/>
      <c r="E26" s="2"/>
      <c r="F26" s="9"/>
      <c r="G26" s="2"/>
      <c r="J26" s="2"/>
      <c r="K26" s="9"/>
      <c r="L26" s="4"/>
      <c r="M26" s="2"/>
      <c r="O26" s="95"/>
      <c r="P26" s="95"/>
      <c r="Q26" s="95"/>
      <c r="R26" s="95"/>
      <c r="S26" s="95"/>
      <c r="T26" s="95"/>
    </row>
    <row r="27" spans="3:20" x14ac:dyDescent="0.35">
      <c r="C27" s="23"/>
      <c r="E27" s="2"/>
      <c r="F27" s="9"/>
      <c r="G27" s="2"/>
      <c r="J27" s="2"/>
      <c r="K27" s="9"/>
      <c r="L27" s="4"/>
      <c r="M27" s="2"/>
      <c r="O27" s="95" t="s">
        <v>149</v>
      </c>
      <c r="P27" s="95"/>
      <c r="Q27" s="95"/>
      <c r="R27" s="95"/>
      <c r="S27" s="95"/>
      <c r="T27" s="95"/>
    </row>
    <row r="28" spans="3:20" x14ac:dyDescent="0.35">
      <c r="C28" s="23"/>
      <c r="E28" s="2"/>
      <c r="F28" s="9"/>
      <c r="G28" s="2"/>
      <c r="J28" s="2"/>
      <c r="K28" s="9"/>
      <c r="L28" s="4"/>
      <c r="M28" s="2"/>
      <c r="O28" s="95"/>
      <c r="P28" s="95"/>
      <c r="Q28" s="95"/>
      <c r="R28" s="95"/>
      <c r="S28" s="95"/>
      <c r="T28" s="95"/>
    </row>
    <row r="29" spans="3:20" x14ac:dyDescent="0.35">
      <c r="C29" s="23"/>
      <c r="E29" s="2"/>
      <c r="F29" s="9"/>
      <c r="G29" s="2"/>
      <c r="J29" s="2"/>
      <c r="K29" s="9"/>
      <c r="L29" s="4"/>
      <c r="M29" s="2"/>
      <c r="O29" s="95"/>
      <c r="P29" s="95"/>
      <c r="Q29" s="95"/>
      <c r="R29" s="95"/>
      <c r="S29" s="95"/>
      <c r="T29" s="95"/>
    </row>
    <row r="30" spans="3:20" x14ac:dyDescent="0.35">
      <c r="C30" s="23"/>
      <c r="E30" s="2"/>
      <c r="F30" s="9"/>
      <c r="G30" s="2"/>
      <c r="J30" s="2"/>
      <c r="K30" s="9"/>
      <c r="L30" s="2"/>
      <c r="M30" s="2"/>
      <c r="O30" s="95"/>
      <c r="P30" s="95"/>
      <c r="Q30" s="95"/>
      <c r="R30" s="95"/>
      <c r="S30" s="95"/>
      <c r="T30" s="95"/>
    </row>
    <row r="31" spans="3:20" x14ac:dyDescent="0.35">
      <c r="C31" s="23"/>
      <c r="E31" s="2"/>
      <c r="F31" s="9"/>
      <c r="G31" s="2"/>
      <c r="J31" s="2"/>
      <c r="K31" s="9"/>
      <c r="L31" s="2"/>
      <c r="M31" s="2"/>
    </row>
    <row r="32" spans="3:20" x14ac:dyDescent="0.35">
      <c r="C32" s="23"/>
      <c r="E32" s="2"/>
      <c r="F32" s="9"/>
      <c r="G32" s="2"/>
      <c r="J32" s="2"/>
      <c r="K32" s="9"/>
      <c r="L32" s="2"/>
      <c r="M32" s="2"/>
    </row>
    <row r="33" spans="3:13" x14ac:dyDescent="0.35">
      <c r="C33" s="23"/>
      <c r="E33" s="2"/>
      <c r="F33" s="9"/>
      <c r="G33" s="2"/>
      <c r="J33" s="2"/>
      <c r="K33" s="9"/>
      <c r="L33" s="2"/>
      <c r="M33" s="2"/>
    </row>
    <row r="34" spans="3:13" x14ac:dyDescent="0.35">
      <c r="C34" s="23"/>
      <c r="E34" s="2"/>
      <c r="F34" s="9"/>
      <c r="G34" s="2"/>
      <c r="J34" s="2"/>
      <c r="K34" s="9"/>
      <c r="L34" s="2"/>
      <c r="M34" s="2"/>
    </row>
    <row r="35" spans="3:13" x14ac:dyDescent="0.35">
      <c r="C35" s="23"/>
      <c r="E35" s="2"/>
      <c r="F35" s="9"/>
      <c r="G35" s="2"/>
      <c r="J35" s="2"/>
      <c r="K35" s="9"/>
      <c r="L35" s="2"/>
      <c r="M35" s="2"/>
    </row>
    <row r="36" spans="3:13" x14ac:dyDescent="0.35">
      <c r="C36" s="23"/>
      <c r="E36" s="2"/>
      <c r="F36" s="9"/>
      <c r="G36" s="2"/>
      <c r="J36" s="2"/>
      <c r="K36" s="9"/>
      <c r="L36" s="2"/>
      <c r="M36" s="2"/>
    </row>
    <row r="37" spans="3:13" x14ac:dyDescent="0.35">
      <c r="E37" s="2"/>
      <c r="F37" s="9"/>
      <c r="G37" s="2"/>
      <c r="J37" s="2"/>
      <c r="K37" s="9"/>
      <c r="L37" s="2"/>
      <c r="M37" s="2"/>
    </row>
    <row r="38" spans="3:13" x14ac:dyDescent="0.35">
      <c r="E38" s="2"/>
      <c r="F38" s="9"/>
      <c r="G38" s="2"/>
      <c r="J38" s="2"/>
      <c r="K38" s="9"/>
      <c r="L38" s="2"/>
      <c r="M38" s="2"/>
    </row>
    <row r="39" spans="3:13" x14ac:dyDescent="0.35">
      <c r="E39" s="2"/>
      <c r="F39" s="9"/>
      <c r="G39" s="2"/>
      <c r="J39" s="2"/>
      <c r="K39" s="9"/>
      <c r="L39" s="2"/>
      <c r="M39" s="2"/>
    </row>
    <row r="40" spans="3:13" x14ac:dyDescent="0.35">
      <c r="E40" s="2"/>
      <c r="F40" s="9"/>
      <c r="G40" s="2"/>
      <c r="J40" s="2"/>
      <c r="K40" s="9"/>
      <c r="L40" s="2"/>
      <c r="M40" s="2"/>
    </row>
    <row r="41" spans="3:13" x14ac:dyDescent="0.35">
      <c r="E41" s="2"/>
      <c r="F41" s="9"/>
      <c r="G41" s="2"/>
      <c r="J41" s="2"/>
      <c r="K41" s="9"/>
      <c r="L41" s="2"/>
      <c r="M41" s="2"/>
    </row>
    <row r="42" spans="3:13" x14ac:dyDescent="0.35">
      <c r="E42" s="2"/>
      <c r="F42" s="9"/>
      <c r="G42" s="2"/>
      <c r="J42" s="2"/>
      <c r="K42" s="9"/>
      <c r="L42" s="2"/>
      <c r="M42" s="2"/>
    </row>
    <row r="43" spans="3:13" x14ac:dyDescent="0.35">
      <c r="E43" s="2"/>
      <c r="F43" s="9"/>
      <c r="G43" s="2"/>
      <c r="J43" s="2"/>
      <c r="K43" s="9"/>
      <c r="L43" s="2"/>
      <c r="M43" s="2"/>
    </row>
    <row r="44" spans="3:13" ht="15" thickBot="1" x14ac:dyDescent="0.4">
      <c r="E44" s="3"/>
      <c r="F44" s="10"/>
      <c r="G44" s="3"/>
      <c r="J44" s="3"/>
      <c r="K44" s="10"/>
      <c r="L44" s="3"/>
      <c r="M44" s="3"/>
    </row>
  </sheetData>
  <mergeCells count="7">
    <mergeCell ref="O23:T26"/>
    <mergeCell ref="O27:T30"/>
    <mergeCell ref="E10:G10"/>
    <mergeCell ref="J10:M10"/>
    <mergeCell ref="O12:T15"/>
    <mergeCell ref="O16:T19"/>
    <mergeCell ref="O21:T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A768-E1F1-4F70-B6C9-A662B38F9ACD}">
  <dimension ref="B1:L44"/>
  <sheetViews>
    <sheetView zoomScale="115" zoomScaleNormal="115" workbookViewId="0">
      <selection activeCell="C16" sqref="C16"/>
    </sheetView>
  </sheetViews>
  <sheetFormatPr defaultRowHeight="14.5" x14ac:dyDescent="0.35"/>
  <cols>
    <col min="2" max="2" width="17.81640625" bestFit="1" customWidth="1"/>
    <col min="3" max="3" width="24.1796875" customWidth="1"/>
    <col min="5" max="5" width="12" bestFit="1" customWidth="1"/>
    <col min="6" max="6" width="7.36328125" bestFit="1" customWidth="1"/>
    <col min="7" max="7" width="16.36328125" bestFit="1" customWidth="1"/>
    <col min="10" max="10" width="20.453125" bestFit="1" customWidth="1"/>
    <col min="11" max="11" width="9" customWidth="1"/>
    <col min="12" max="12" width="17" bestFit="1" customWidth="1"/>
    <col min="16" max="16" width="9.816406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131</v>
      </c>
    </row>
    <row r="3" spans="2:12" x14ac:dyDescent="0.35">
      <c r="B3" s="27" t="s">
        <v>10</v>
      </c>
      <c r="C3" s="28" t="s">
        <v>44</v>
      </c>
    </row>
    <row r="4" spans="2:12" ht="76.5" customHeight="1" x14ac:dyDescent="0.35">
      <c r="B4" s="27" t="s">
        <v>11</v>
      </c>
      <c r="C4" s="30" t="s">
        <v>260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384</v>
      </c>
    </row>
    <row r="7" spans="2:12" x14ac:dyDescent="0.35">
      <c r="B7" s="21" t="s">
        <v>14</v>
      </c>
      <c r="C7" s="25" t="s">
        <v>385</v>
      </c>
    </row>
    <row r="8" spans="2:12" x14ac:dyDescent="0.35">
      <c r="B8" s="21" t="s">
        <v>31</v>
      </c>
      <c r="C8" s="25" t="s">
        <v>139</v>
      </c>
    </row>
    <row r="9" spans="2:12" ht="15" thickBot="1" x14ac:dyDescent="0.4">
      <c r="B9" s="22" t="s">
        <v>32</v>
      </c>
      <c r="C9" s="26" t="s">
        <v>389</v>
      </c>
    </row>
    <row r="10" spans="2:12" ht="15" thickBot="1" x14ac:dyDescent="0.4">
      <c r="C10" s="23"/>
      <c r="E10" s="92" t="s">
        <v>15</v>
      </c>
      <c r="F10" s="93"/>
      <c r="G10" s="94"/>
      <c r="J10" s="92" t="s">
        <v>16</v>
      </c>
      <c r="K10" s="93"/>
      <c r="L10" s="94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132</v>
      </c>
      <c r="F12" s="8">
        <v>600</v>
      </c>
      <c r="G12" s="4" t="s">
        <v>60</v>
      </c>
      <c r="J12" s="19" t="s">
        <v>135</v>
      </c>
      <c r="K12" s="44">
        <v>49.332999999999998</v>
      </c>
      <c r="L12" s="40" t="s">
        <v>8</v>
      </c>
    </row>
    <row r="13" spans="2:12" x14ac:dyDescent="0.35">
      <c r="C13" s="23"/>
      <c r="E13" s="2" t="s">
        <v>61</v>
      </c>
      <c r="F13" s="9">
        <v>1000</v>
      </c>
      <c r="G13" s="4" t="s">
        <v>60</v>
      </c>
      <c r="J13" s="4" t="s">
        <v>135</v>
      </c>
      <c r="K13" s="11">
        <v>246.666</v>
      </c>
      <c r="L13" s="42" t="s">
        <v>25</v>
      </c>
    </row>
    <row r="14" spans="2:12" x14ac:dyDescent="0.35">
      <c r="C14" s="23"/>
      <c r="E14" s="2" t="s">
        <v>17</v>
      </c>
      <c r="F14" s="9">
        <v>400</v>
      </c>
      <c r="G14" s="4" t="s">
        <v>60</v>
      </c>
      <c r="J14" s="4" t="s">
        <v>136</v>
      </c>
      <c r="K14" s="11">
        <v>12</v>
      </c>
      <c r="L14" s="42" t="s">
        <v>8</v>
      </c>
    </row>
    <row r="15" spans="2:12" x14ac:dyDescent="0.35">
      <c r="C15" s="23"/>
      <c r="E15" s="2" t="s">
        <v>18</v>
      </c>
      <c r="F15" s="9">
        <v>200</v>
      </c>
      <c r="G15" s="2" t="s">
        <v>60</v>
      </c>
      <c r="J15" s="4" t="s">
        <v>137</v>
      </c>
      <c r="K15" s="11">
        <v>45</v>
      </c>
      <c r="L15" s="42" t="s">
        <v>8</v>
      </c>
    </row>
    <row r="16" spans="2:12" x14ac:dyDescent="0.35">
      <c r="C16" s="23"/>
      <c r="E16" s="2" t="s">
        <v>19</v>
      </c>
      <c r="F16" s="9">
        <v>240</v>
      </c>
      <c r="G16" s="2" t="s">
        <v>133</v>
      </c>
      <c r="J16" s="4" t="s">
        <v>138</v>
      </c>
      <c r="K16" s="11">
        <f>62-1-9/16</f>
        <v>60.4375</v>
      </c>
      <c r="L16" s="42" t="s">
        <v>8</v>
      </c>
    </row>
    <row r="17" spans="3:12" x14ac:dyDescent="0.35">
      <c r="C17" s="23"/>
      <c r="E17" s="2" t="s">
        <v>43</v>
      </c>
      <c r="F17" s="9">
        <v>246.67</v>
      </c>
      <c r="G17" s="2" t="s">
        <v>134</v>
      </c>
      <c r="J17" s="4" t="s">
        <v>87</v>
      </c>
      <c r="K17" s="11">
        <v>7.35</v>
      </c>
      <c r="L17" s="42" t="s">
        <v>173</v>
      </c>
    </row>
    <row r="18" spans="3:12" x14ac:dyDescent="0.35">
      <c r="C18" s="23"/>
      <c r="E18" s="2"/>
      <c r="F18" s="9"/>
      <c r="G18" s="2"/>
      <c r="J18" s="4" t="s">
        <v>87</v>
      </c>
      <c r="K18" s="11">
        <v>125.0989</v>
      </c>
      <c r="L18" s="42" t="s">
        <v>25</v>
      </c>
    </row>
    <row r="19" spans="3:12" x14ac:dyDescent="0.35">
      <c r="C19" s="23"/>
      <c r="E19" s="2"/>
      <c r="F19" s="9"/>
      <c r="G19" s="2"/>
      <c r="J19" s="4" t="s">
        <v>138</v>
      </c>
      <c r="K19" s="11">
        <v>160</v>
      </c>
      <c r="L19" s="42" t="s">
        <v>148</v>
      </c>
    </row>
    <row r="20" spans="3:12" x14ac:dyDescent="0.35">
      <c r="C20" s="23"/>
      <c r="E20" s="2"/>
      <c r="F20" s="9"/>
      <c r="G20" s="2"/>
      <c r="J20" s="2" t="s">
        <v>161</v>
      </c>
      <c r="K20" s="11">
        <v>5</v>
      </c>
      <c r="L20" s="42" t="s">
        <v>8</v>
      </c>
    </row>
    <row r="21" spans="3:12" x14ac:dyDescent="0.35">
      <c r="C21" s="23"/>
      <c r="E21" s="2"/>
      <c r="F21" s="9"/>
      <c r="G21" s="2"/>
      <c r="J21" s="4" t="s">
        <v>137</v>
      </c>
      <c r="K21" s="11">
        <v>150</v>
      </c>
      <c r="L21" s="42" t="s">
        <v>162</v>
      </c>
    </row>
    <row r="22" spans="3:12" x14ac:dyDescent="0.35">
      <c r="C22" s="23"/>
      <c r="E22" s="2"/>
      <c r="F22" s="9"/>
      <c r="G22" s="2"/>
      <c r="J22" s="4" t="s">
        <v>138</v>
      </c>
      <c r="K22" s="11">
        <v>0.3</v>
      </c>
      <c r="L22" s="42" t="s">
        <v>173</v>
      </c>
    </row>
    <row r="23" spans="3:12" x14ac:dyDescent="0.35">
      <c r="C23" s="23"/>
      <c r="E23" s="2"/>
      <c r="F23" s="9"/>
      <c r="G23" s="2"/>
      <c r="J23" s="2" t="s">
        <v>87</v>
      </c>
      <c r="K23" s="11">
        <v>176.4</v>
      </c>
      <c r="L23" s="42" t="s">
        <v>203</v>
      </c>
    </row>
    <row r="24" spans="3:12" x14ac:dyDescent="0.35">
      <c r="C24" s="23"/>
      <c r="E24" s="2"/>
      <c r="F24" s="9"/>
      <c r="G24" s="2"/>
      <c r="J24" s="2" t="s">
        <v>87</v>
      </c>
      <c r="K24" s="11">
        <v>28.6</v>
      </c>
      <c r="L24" s="42" t="s">
        <v>221</v>
      </c>
    </row>
    <row r="25" spans="3:12" x14ac:dyDescent="0.35">
      <c r="C25" s="23"/>
      <c r="E25" s="2"/>
      <c r="F25" s="9"/>
      <c r="G25" s="2"/>
      <c r="J25" s="2" t="s">
        <v>138</v>
      </c>
      <c r="K25" s="11">
        <f>1+9/16</f>
        <v>1.5625</v>
      </c>
      <c r="L25" s="42" t="s">
        <v>162</v>
      </c>
    </row>
    <row r="26" spans="3:12" x14ac:dyDescent="0.35">
      <c r="C26" s="23"/>
      <c r="E26" s="2"/>
      <c r="F26" s="9"/>
      <c r="G26" s="2"/>
      <c r="J26" s="2" t="s">
        <v>87</v>
      </c>
      <c r="K26" s="11">
        <f>72+124/225</f>
        <v>72.551111111111112</v>
      </c>
      <c r="L26" s="42" t="s">
        <v>258</v>
      </c>
    </row>
    <row r="27" spans="3:12" x14ac:dyDescent="0.35">
      <c r="C27" s="23"/>
      <c r="E27" s="2"/>
      <c r="F27" s="9"/>
      <c r="G27" s="2"/>
      <c r="J27" s="2"/>
      <c r="K27" s="11"/>
      <c r="L27" s="42"/>
    </row>
    <row r="28" spans="3:12" x14ac:dyDescent="0.35">
      <c r="C28" s="23"/>
      <c r="E28" s="2"/>
      <c r="F28" s="9"/>
      <c r="G28" s="2"/>
      <c r="J28" s="2"/>
      <c r="K28" s="11"/>
      <c r="L28" s="42"/>
    </row>
    <row r="29" spans="3:12" x14ac:dyDescent="0.35">
      <c r="C29" s="23"/>
      <c r="E29" s="2"/>
      <c r="F29" s="9"/>
      <c r="G29" s="2"/>
      <c r="J29" s="2"/>
      <c r="K29" s="11"/>
      <c r="L29" s="42"/>
    </row>
    <row r="30" spans="3:12" x14ac:dyDescent="0.35">
      <c r="C30" s="23"/>
      <c r="E30" s="2"/>
      <c r="F30" s="9"/>
      <c r="G30" s="2"/>
      <c r="J30" s="2"/>
      <c r="K30" s="11"/>
      <c r="L30" s="41"/>
    </row>
    <row r="31" spans="3:12" x14ac:dyDescent="0.35">
      <c r="C31" s="23"/>
      <c r="E31" s="2"/>
      <c r="F31" s="9"/>
      <c r="G31" s="2"/>
      <c r="J31" s="2"/>
      <c r="K31" s="11"/>
      <c r="L31" s="41"/>
    </row>
    <row r="32" spans="3:12" x14ac:dyDescent="0.35">
      <c r="C32" s="23"/>
      <c r="E32" s="2"/>
      <c r="F32" s="9"/>
      <c r="G32" s="2"/>
      <c r="J32" s="2"/>
      <c r="K32" s="11"/>
      <c r="L32" s="41"/>
    </row>
    <row r="33" spans="3:12" x14ac:dyDescent="0.35">
      <c r="C33" s="23"/>
      <c r="E33" s="2"/>
      <c r="F33" s="9"/>
      <c r="G33" s="2"/>
      <c r="J33" s="2"/>
      <c r="K33" s="11"/>
      <c r="L33" s="41"/>
    </row>
    <row r="34" spans="3:12" x14ac:dyDescent="0.35">
      <c r="C34" s="23"/>
      <c r="E34" s="2"/>
      <c r="F34" s="9"/>
      <c r="G34" s="2"/>
      <c r="J34" s="2"/>
      <c r="K34" s="11"/>
      <c r="L34" s="41"/>
    </row>
    <row r="35" spans="3:12" x14ac:dyDescent="0.35">
      <c r="C35" s="23"/>
      <c r="E35" s="2"/>
      <c r="F35" s="9"/>
      <c r="G35" s="2"/>
      <c r="J35" s="2"/>
      <c r="K35" s="11"/>
      <c r="L35" s="41"/>
    </row>
    <row r="36" spans="3:12" x14ac:dyDescent="0.35">
      <c r="C36" s="23"/>
      <c r="E36" s="2"/>
      <c r="F36" s="9"/>
      <c r="G36" s="2"/>
      <c r="J36" s="2"/>
      <c r="K36" s="11"/>
      <c r="L36" s="41"/>
    </row>
    <row r="37" spans="3:12" x14ac:dyDescent="0.35">
      <c r="E37" s="2"/>
      <c r="F37" s="9"/>
      <c r="G37" s="2"/>
      <c r="J37" s="2"/>
      <c r="K37" s="11"/>
      <c r="L37" s="41"/>
    </row>
    <row r="38" spans="3:12" x14ac:dyDescent="0.35">
      <c r="E38" s="2"/>
      <c r="F38" s="9"/>
      <c r="G38" s="2"/>
      <c r="J38" s="2"/>
      <c r="K38" s="11"/>
      <c r="L38" s="41"/>
    </row>
    <row r="39" spans="3:12" x14ac:dyDescent="0.35">
      <c r="E39" s="2"/>
      <c r="F39" s="9"/>
      <c r="G39" s="2"/>
      <c r="J39" s="2"/>
      <c r="K39" s="11"/>
      <c r="L39" s="41"/>
    </row>
    <row r="40" spans="3:12" x14ac:dyDescent="0.35">
      <c r="E40" s="2"/>
      <c r="F40" s="9"/>
      <c r="G40" s="2"/>
      <c r="J40" s="2"/>
      <c r="K40" s="11"/>
      <c r="L40" s="41"/>
    </row>
    <row r="41" spans="3:12" x14ac:dyDescent="0.35">
      <c r="E41" s="2"/>
      <c r="F41" s="9"/>
      <c r="G41" s="2"/>
      <c r="J41" s="2"/>
      <c r="K41" s="11"/>
      <c r="L41" s="41"/>
    </row>
    <row r="42" spans="3:12" x14ac:dyDescent="0.35">
      <c r="E42" s="2"/>
      <c r="F42" s="9"/>
      <c r="G42" s="2"/>
      <c r="J42" s="2"/>
      <c r="K42" s="11"/>
      <c r="L42" s="41"/>
    </row>
    <row r="43" spans="3:12" x14ac:dyDescent="0.35">
      <c r="E43" s="2"/>
      <c r="F43" s="9"/>
      <c r="G43" s="2"/>
      <c r="J43" s="2"/>
      <c r="K43" s="11"/>
      <c r="L43" s="41"/>
    </row>
    <row r="44" spans="3:12" ht="15" thickBot="1" x14ac:dyDescent="0.4">
      <c r="E44" s="3"/>
      <c r="F44" s="10"/>
      <c r="G44" s="3"/>
      <c r="J44" s="3"/>
      <c r="K44" s="45"/>
      <c r="L44" s="43"/>
    </row>
  </sheetData>
  <mergeCells count="2">
    <mergeCell ref="E10:G10"/>
    <mergeCell ref="J10:L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30F0-3027-4B2E-8126-4FAD3B96111E}">
  <dimension ref="B1:L44"/>
  <sheetViews>
    <sheetView workbookViewId="0">
      <selection activeCell="C6" sqref="C6"/>
    </sheetView>
  </sheetViews>
  <sheetFormatPr defaultRowHeight="14.5" x14ac:dyDescent="0.35"/>
  <cols>
    <col min="2" max="2" width="17.81640625" bestFit="1" customWidth="1"/>
    <col min="3" max="3" width="19.7265625" customWidth="1"/>
    <col min="5" max="5" width="14.90625" bestFit="1" customWidth="1"/>
    <col min="6" max="6" width="7.81640625" bestFit="1" customWidth="1"/>
    <col min="7" max="7" width="16.36328125" bestFit="1" customWidth="1"/>
    <col min="10" max="10" width="4.6328125" bestFit="1" customWidth="1"/>
    <col min="11" max="11" width="16.453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148</v>
      </c>
    </row>
    <row r="3" spans="2:12" ht="74.5" customHeight="1" x14ac:dyDescent="0.35">
      <c r="B3" s="27" t="s">
        <v>10</v>
      </c>
      <c r="C3" s="28" t="s">
        <v>153</v>
      </c>
    </row>
    <row r="4" spans="2:12" ht="29" customHeight="1" x14ac:dyDescent="0.35">
      <c r="B4" s="21" t="s">
        <v>11</v>
      </c>
      <c r="C4" s="37" t="s">
        <v>235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157</v>
      </c>
    </row>
    <row r="7" spans="2:12" x14ac:dyDescent="0.35">
      <c r="B7" s="21" t="s">
        <v>14</v>
      </c>
      <c r="C7" s="25" t="s">
        <v>158</v>
      </c>
    </row>
    <row r="8" spans="2:12" x14ac:dyDescent="0.35">
      <c r="B8" s="21" t="s">
        <v>31</v>
      </c>
      <c r="C8" s="25" t="s">
        <v>159</v>
      </c>
    </row>
    <row r="9" spans="2:12" ht="15" thickBot="1" x14ac:dyDescent="0.4">
      <c r="B9" s="22" t="s">
        <v>32</v>
      </c>
      <c r="C9" s="26" t="s">
        <v>160</v>
      </c>
    </row>
    <row r="10" spans="2:12" ht="15" thickBot="1" x14ac:dyDescent="0.4">
      <c r="C10" s="23"/>
      <c r="E10" s="92" t="s">
        <v>15</v>
      </c>
      <c r="F10" s="93"/>
      <c r="G10" s="94"/>
      <c r="J10" s="92" t="s">
        <v>16</v>
      </c>
      <c r="K10" s="93"/>
      <c r="L10" s="94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43</v>
      </c>
      <c r="F12" s="8">
        <v>1272.67</v>
      </c>
      <c r="G12" s="4" t="s">
        <v>134</v>
      </c>
      <c r="J12" s="38">
        <v>9.5</v>
      </c>
      <c r="K12" s="8" t="s">
        <v>155</v>
      </c>
      <c r="L12" s="4" t="s">
        <v>8</v>
      </c>
    </row>
    <row r="13" spans="2:12" x14ac:dyDescent="0.35">
      <c r="C13" s="23"/>
      <c r="E13" s="2" t="s">
        <v>87</v>
      </c>
      <c r="F13" s="9">
        <v>606</v>
      </c>
      <c r="G13" s="4" t="s">
        <v>85</v>
      </c>
      <c r="J13" s="38">
        <v>8</v>
      </c>
      <c r="K13" s="9" t="s">
        <v>156</v>
      </c>
      <c r="L13" s="4" t="s">
        <v>8</v>
      </c>
    </row>
    <row r="14" spans="2:12" x14ac:dyDescent="0.35">
      <c r="C14" s="23"/>
      <c r="E14" s="2" t="s">
        <v>86</v>
      </c>
      <c r="F14" s="9">
        <v>300</v>
      </c>
      <c r="G14" s="4" t="s">
        <v>85</v>
      </c>
      <c r="J14" s="38">
        <v>0.5</v>
      </c>
      <c r="K14" s="9" t="s">
        <v>155</v>
      </c>
      <c r="L14" s="4" t="s">
        <v>221</v>
      </c>
    </row>
    <row r="15" spans="2:12" x14ac:dyDescent="0.35">
      <c r="C15" s="23"/>
      <c r="E15" s="2" t="s">
        <v>19</v>
      </c>
      <c r="F15" s="9">
        <v>481</v>
      </c>
      <c r="G15" s="2" t="s">
        <v>62</v>
      </c>
      <c r="J15" s="38">
        <v>2</v>
      </c>
      <c r="K15" s="9" t="s">
        <v>156</v>
      </c>
      <c r="L15" s="4" t="s">
        <v>234</v>
      </c>
    </row>
    <row r="16" spans="2:12" x14ac:dyDescent="0.35">
      <c r="C16" s="23"/>
      <c r="E16" s="2" t="s">
        <v>103</v>
      </c>
      <c r="F16" s="9">
        <v>210</v>
      </c>
      <c r="G16" s="2" t="s">
        <v>106</v>
      </c>
      <c r="J16" s="38"/>
      <c r="K16" s="9"/>
      <c r="L16" s="4"/>
    </row>
    <row r="17" spans="3:12" x14ac:dyDescent="0.35">
      <c r="C17" s="23"/>
      <c r="E17" s="2" t="s">
        <v>5</v>
      </c>
      <c r="F17" s="9">
        <v>280</v>
      </c>
      <c r="G17" s="2" t="s">
        <v>106</v>
      </c>
      <c r="J17" s="38"/>
      <c r="K17" s="9"/>
      <c r="L17" s="4"/>
    </row>
    <row r="18" spans="3:12" x14ac:dyDescent="0.35">
      <c r="C18" s="23"/>
      <c r="E18" s="2" t="s">
        <v>53</v>
      </c>
      <c r="F18" s="9">
        <v>158.33000000000001</v>
      </c>
      <c r="G18" s="2" t="s">
        <v>50</v>
      </c>
      <c r="J18" s="38"/>
      <c r="K18" s="9"/>
      <c r="L18" s="4"/>
    </row>
    <row r="19" spans="3:12" x14ac:dyDescent="0.35">
      <c r="C19" s="23"/>
      <c r="E19" s="2" t="s">
        <v>154</v>
      </c>
      <c r="F19" s="9">
        <v>160</v>
      </c>
      <c r="G19" s="2" t="s">
        <v>131</v>
      </c>
      <c r="J19" s="11"/>
      <c r="K19" s="9"/>
      <c r="L19" s="4"/>
    </row>
    <row r="20" spans="3:12" x14ac:dyDescent="0.35">
      <c r="C20" s="23"/>
      <c r="E20" s="2"/>
      <c r="F20" s="9"/>
      <c r="G20" s="2"/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1D7C-48A2-4264-A591-A5BE1589053B}">
  <dimension ref="B1:L44"/>
  <sheetViews>
    <sheetView workbookViewId="0">
      <selection activeCell="C16" sqref="C16"/>
    </sheetView>
  </sheetViews>
  <sheetFormatPr defaultRowHeight="14.5" x14ac:dyDescent="0.35"/>
  <cols>
    <col min="2" max="2" width="17.81640625" bestFit="1" customWidth="1"/>
    <col min="3" max="3" width="22" customWidth="1"/>
    <col min="5" max="5" width="14.90625" bestFit="1" customWidth="1"/>
    <col min="6" max="6" width="7.81640625" bestFit="1" customWidth="1"/>
    <col min="7" max="7" width="16.36328125" bestFit="1" customWidth="1"/>
    <col min="10" max="10" width="8.453125" customWidth="1"/>
    <col min="11" max="11" width="18.7265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162</v>
      </c>
    </row>
    <row r="3" spans="2:12" ht="43.5" x14ac:dyDescent="0.35">
      <c r="B3" s="27" t="s">
        <v>10</v>
      </c>
      <c r="C3" s="28" t="s">
        <v>254</v>
      </c>
    </row>
    <row r="4" spans="2:12" x14ac:dyDescent="0.35">
      <c r="B4" s="21" t="s">
        <v>11</v>
      </c>
      <c r="C4" s="25" t="s">
        <v>203</v>
      </c>
    </row>
    <row r="5" spans="2:12" x14ac:dyDescent="0.35">
      <c r="B5" s="21" t="s">
        <v>12</v>
      </c>
      <c r="C5" s="25" t="s">
        <v>166</v>
      </c>
    </row>
    <row r="6" spans="2:12" x14ac:dyDescent="0.35">
      <c r="B6" s="21" t="s">
        <v>13</v>
      </c>
      <c r="C6" s="25" t="s">
        <v>383</v>
      </c>
    </row>
    <row r="7" spans="2:12" x14ac:dyDescent="0.35">
      <c r="B7" s="21" t="s">
        <v>14</v>
      </c>
      <c r="C7" s="25" t="s">
        <v>165</v>
      </c>
    </row>
    <row r="8" spans="2:12" x14ac:dyDescent="0.35">
      <c r="B8" s="21" t="s">
        <v>31</v>
      </c>
      <c r="C8" s="25" t="s">
        <v>257</v>
      </c>
    </row>
    <row r="9" spans="2:12" ht="15" thickBot="1" x14ac:dyDescent="0.4">
      <c r="B9" s="22" t="s">
        <v>32</v>
      </c>
      <c r="C9" s="26" t="s">
        <v>164</v>
      </c>
    </row>
    <row r="10" spans="2:12" ht="15" thickBot="1" x14ac:dyDescent="0.4">
      <c r="C10" s="23"/>
      <c r="E10" s="92" t="s">
        <v>15</v>
      </c>
      <c r="F10" s="93"/>
      <c r="G10" s="94"/>
      <c r="J10" s="92" t="s">
        <v>16</v>
      </c>
      <c r="K10" s="93"/>
      <c r="L10" s="94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19</v>
      </c>
      <c r="F12" s="8">
        <v>986.67</v>
      </c>
      <c r="G12" s="4" t="s">
        <v>62</v>
      </c>
      <c r="J12" s="38">
        <v>29.17</v>
      </c>
      <c r="K12" s="8" t="s">
        <v>5</v>
      </c>
      <c r="L12" s="4" t="s">
        <v>25</v>
      </c>
    </row>
    <row r="13" spans="2:12" x14ac:dyDescent="0.35">
      <c r="C13" s="23"/>
      <c r="E13" s="2" t="s">
        <v>167</v>
      </c>
      <c r="F13" s="9">
        <v>300</v>
      </c>
      <c r="G13" s="4" t="s">
        <v>168</v>
      </c>
      <c r="J13" s="38">
        <v>6.25</v>
      </c>
      <c r="K13" s="9" t="s">
        <v>169</v>
      </c>
      <c r="L13" s="4" t="s">
        <v>8</v>
      </c>
    </row>
    <row r="14" spans="2:12" x14ac:dyDescent="0.35">
      <c r="C14" s="23"/>
      <c r="E14" s="2" t="s">
        <v>20</v>
      </c>
      <c r="F14" s="9">
        <v>150</v>
      </c>
      <c r="G14" s="4" t="s">
        <v>23</v>
      </c>
      <c r="J14" s="38">
        <v>12.5</v>
      </c>
      <c r="K14" s="9" t="s">
        <v>170</v>
      </c>
      <c r="L14" s="4" t="s">
        <v>8</v>
      </c>
    </row>
    <row r="15" spans="2:12" x14ac:dyDescent="0.35">
      <c r="C15" s="23"/>
      <c r="E15" s="2" t="s">
        <v>137</v>
      </c>
      <c r="F15" s="9">
        <v>150</v>
      </c>
      <c r="G15" s="2" t="s">
        <v>131</v>
      </c>
      <c r="J15" s="38">
        <f>150-J16-J19</f>
        <v>142.10999999999999</v>
      </c>
      <c r="K15" s="9" t="s">
        <v>171</v>
      </c>
      <c r="L15" s="4" t="s">
        <v>8</v>
      </c>
    </row>
    <row r="16" spans="2:12" x14ac:dyDescent="0.35">
      <c r="C16" s="23"/>
      <c r="E16" s="2" t="s">
        <v>18</v>
      </c>
      <c r="F16" s="9">
        <v>400</v>
      </c>
      <c r="G16" s="2" t="s">
        <v>21</v>
      </c>
      <c r="J16" s="38">
        <v>1.55</v>
      </c>
      <c r="K16" s="9" t="s">
        <v>171</v>
      </c>
      <c r="L16" s="4" t="s">
        <v>203</v>
      </c>
    </row>
    <row r="17" spans="3:12" x14ac:dyDescent="0.35">
      <c r="C17" s="23"/>
      <c r="E17" s="2" t="s">
        <v>17</v>
      </c>
      <c r="F17" s="9">
        <v>212.5</v>
      </c>
      <c r="G17" s="2" t="s">
        <v>21</v>
      </c>
      <c r="J17" s="38">
        <f>1+9/16</f>
        <v>1.5625</v>
      </c>
      <c r="K17" s="9" t="s">
        <v>255</v>
      </c>
      <c r="L17" s="4" t="s">
        <v>8</v>
      </c>
    </row>
    <row r="18" spans="3:12" x14ac:dyDescent="0.35">
      <c r="C18" s="23"/>
      <c r="E18" s="2" t="s">
        <v>41</v>
      </c>
      <c r="F18" s="9">
        <f>9+3/8</f>
        <v>9.375</v>
      </c>
      <c r="G18" s="2" t="s">
        <v>33</v>
      </c>
      <c r="J18" s="38">
        <f>1+9/16</f>
        <v>1.5625</v>
      </c>
      <c r="K18" s="9" t="s">
        <v>256</v>
      </c>
      <c r="L18" s="4" t="s">
        <v>8</v>
      </c>
    </row>
    <row r="19" spans="3:12" x14ac:dyDescent="0.35">
      <c r="C19" s="23"/>
      <c r="E19" s="2" t="s">
        <v>53</v>
      </c>
      <c r="F19" s="9">
        <v>2.5</v>
      </c>
      <c r="G19" s="2" t="s">
        <v>50</v>
      </c>
      <c r="J19" s="11">
        <v>6.34</v>
      </c>
      <c r="K19" s="9" t="s">
        <v>171</v>
      </c>
      <c r="L19" s="4" t="s">
        <v>258</v>
      </c>
    </row>
    <row r="20" spans="3:12" x14ac:dyDescent="0.35">
      <c r="C20" s="23"/>
      <c r="E20" s="2" t="s">
        <v>154</v>
      </c>
      <c r="F20" s="9">
        <f>1+9/16</f>
        <v>1.5625</v>
      </c>
      <c r="G20" s="2" t="s">
        <v>131</v>
      </c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6B3A-157D-4021-977B-A5A4DB537283}">
  <dimension ref="D3:V38"/>
  <sheetViews>
    <sheetView zoomScale="85" zoomScaleNormal="85" workbookViewId="0">
      <selection activeCell="E18" sqref="E18"/>
    </sheetView>
  </sheetViews>
  <sheetFormatPr defaultRowHeight="14.5" x14ac:dyDescent="0.35"/>
  <cols>
    <col min="4" max="4" width="17.81640625" bestFit="1" customWidth="1"/>
    <col min="5" max="5" width="29.6328125" customWidth="1"/>
    <col min="7" max="7" width="14.90625" bestFit="1" customWidth="1"/>
    <col min="8" max="8" width="9.81640625" bestFit="1" customWidth="1"/>
    <col min="9" max="9" width="18.7265625" bestFit="1" customWidth="1"/>
    <col min="12" max="12" width="10.08984375" bestFit="1" customWidth="1"/>
    <col min="13" max="13" width="17.6328125" bestFit="1" customWidth="1"/>
    <col min="14" max="14" width="16.26953125" bestFit="1" customWidth="1"/>
  </cols>
  <sheetData>
    <row r="3" spans="4:14" ht="15" thickBot="1" x14ac:dyDescent="0.4"/>
    <row r="4" spans="4:14" x14ac:dyDescent="0.35">
      <c r="D4" s="16" t="s">
        <v>9</v>
      </c>
      <c r="E4" s="40" t="s">
        <v>173</v>
      </c>
    </row>
    <row r="5" spans="4:14" ht="59.5" customHeight="1" x14ac:dyDescent="0.35">
      <c r="D5" s="50" t="s">
        <v>10</v>
      </c>
      <c r="E5" s="51" t="s">
        <v>274</v>
      </c>
    </row>
    <row r="6" spans="4:14" x14ac:dyDescent="0.35">
      <c r="D6" s="17" t="s">
        <v>11</v>
      </c>
      <c r="E6" s="41" t="s">
        <v>259</v>
      </c>
    </row>
    <row r="7" spans="4:14" x14ac:dyDescent="0.35">
      <c r="D7" s="17" t="s">
        <v>12</v>
      </c>
      <c r="E7" s="41"/>
    </row>
    <row r="8" spans="4:14" x14ac:dyDescent="0.35">
      <c r="D8" s="17" t="s">
        <v>13</v>
      </c>
      <c r="E8" s="41" t="s">
        <v>200</v>
      </c>
    </row>
    <row r="9" spans="4:14" x14ac:dyDescent="0.35">
      <c r="D9" s="17" t="s">
        <v>14</v>
      </c>
      <c r="E9" s="41" t="s">
        <v>201</v>
      </c>
    </row>
    <row r="10" spans="4:14" x14ac:dyDescent="0.35">
      <c r="D10" s="17" t="s">
        <v>31</v>
      </c>
      <c r="E10" s="41" t="s">
        <v>51</v>
      </c>
    </row>
    <row r="11" spans="4:14" ht="15" thickBot="1" x14ac:dyDescent="0.4">
      <c r="D11" s="18" t="s">
        <v>32</v>
      </c>
      <c r="E11" s="43" t="s">
        <v>164</v>
      </c>
    </row>
    <row r="12" spans="4:14" ht="15" thickBot="1" x14ac:dyDescent="0.4">
      <c r="G12" s="109" t="s">
        <v>15</v>
      </c>
      <c r="H12" s="110"/>
      <c r="I12" s="111"/>
      <c r="L12" s="109" t="s">
        <v>16</v>
      </c>
      <c r="M12" s="110"/>
      <c r="N12" s="111"/>
    </row>
    <row r="13" spans="4:14" ht="15" thickBot="1" x14ac:dyDescent="0.4">
      <c r="G13" s="52" t="s">
        <v>0</v>
      </c>
      <c r="H13" s="53" t="s">
        <v>1</v>
      </c>
      <c r="I13" s="54" t="s">
        <v>2</v>
      </c>
      <c r="L13" s="59" t="s">
        <v>0</v>
      </c>
      <c r="M13" s="60" t="s">
        <v>1</v>
      </c>
      <c r="N13" s="61" t="s">
        <v>24</v>
      </c>
    </row>
    <row r="14" spans="4:14" x14ac:dyDescent="0.35">
      <c r="G14" s="5" t="s">
        <v>154</v>
      </c>
      <c r="H14" s="4">
        <v>0.3</v>
      </c>
      <c r="I14" s="42" t="s">
        <v>131</v>
      </c>
      <c r="L14" s="47">
        <v>2</v>
      </c>
      <c r="M14" s="19" t="s">
        <v>176</v>
      </c>
      <c r="N14" s="40" t="s">
        <v>8</v>
      </c>
    </row>
    <row r="15" spans="4:14" x14ac:dyDescent="0.35">
      <c r="G15" s="6" t="s">
        <v>103</v>
      </c>
      <c r="H15" s="2">
        <v>2.8</v>
      </c>
      <c r="I15" s="41" t="s">
        <v>106</v>
      </c>
      <c r="L15" s="6">
        <v>2</v>
      </c>
      <c r="M15" s="2" t="s">
        <v>177</v>
      </c>
      <c r="N15" s="41" t="s">
        <v>8</v>
      </c>
    </row>
    <row r="16" spans="4:14" x14ac:dyDescent="0.35">
      <c r="G16" s="6" t="s">
        <v>87</v>
      </c>
      <c r="H16" s="2">
        <v>7.35</v>
      </c>
      <c r="I16" s="41" t="s">
        <v>131</v>
      </c>
      <c r="L16" s="6">
        <v>2</v>
      </c>
      <c r="M16" s="2" t="s">
        <v>178</v>
      </c>
      <c r="N16" s="41" t="s">
        <v>8</v>
      </c>
    </row>
    <row r="17" spans="7:14" x14ac:dyDescent="0.35">
      <c r="G17" s="6" t="s">
        <v>53</v>
      </c>
      <c r="H17" s="2">
        <v>9.6</v>
      </c>
      <c r="I17" s="41" t="s">
        <v>50</v>
      </c>
      <c r="L17" s="6">
        <v>2.5</v>
      </c>
      <c r="M17" s="2" t="s">
        <v>179</v>
      </c>
      <c r="N17" s="41" t="s">
        <v>8</v>
      </c>
    </row>
    <row r="18" spans="7:14" x14ac:dyDescent="0.35">
      <c r="G18" s="6" t="s">
        <v>43</v>
      </c>
      <c r="H18" s="2">
        <v>13.2</v>
      </c>
      <c r="I18" s="41" t="s">
        <v>44</v>
      </c>
      <c r="L18" s="6">
        <v>2.5</v>
      </c>
      <c r="M18" s="2" t="s">
        <v>180</v>
      </c>
      <c r="N18" s="41" t="s">
        <v>8</v>
      </c>
    </row>
    <row r="19" spans="7:14" x14ac:dyDescent="0.35">
      <c r="G19" s="6" t="s">
        <v>86</v>
      </c>
      <c r="H19" s="2">
        <v>15</v>
      </c>
      <c r="I19" s="41" t="s">
        <v>85</v>
      </c>
      <c r="L19" s="6">
        <v>5</v>
      </c>
      <c r="M19" s="2" t="s">
        <v>181</v>
      </c>
      <c r="N19" s="41" t="s">
        <v>8</v>
      </c>
    </row>
    <row r="20" spans="7:14" x14ac:dyDescent="0.35">
      <c r="G20" s="6" t="s">
        <v>18</v>
      </c>
      <c r="H20" s="2">
        <v>30.4666</v>
      </c>
      <c r="I20" s="41" t="s">
        <v>202</v>
      </c>
      <c r="L20" s="6">
        <v>5</v>
      </c>
      <c r="M20" s="2" t="s">
        <v>182</v>
      </c>
      <c r="N20" s="41" t="s">
        <v>8</v>
      </c>
    </row>
    <row r="21" spans="7:14" x14ac:dyDescent="0.35">
      <c r="G21" s="6" t="s">
        <v>17</v>
      </c>
      <c r="H21" s="2">
        <v>30.4666</v>
      </c>
      <c r="I21" s="41" t="s">
        <v>202</v>
      </c>
      <c r="L21" s="6">
        <v>5</v>
      </c>
      <c r="M21" s="2" t="s">
        <v>183</v>
      </c>
      <c r="N21" s="41" t="s">
        <v>8</v>
      </c>
    </row>
    <row r="22" spans="7:14" x14ac:dyDescent="0.35">
      <c r="G22" s="6" t="s">
        <v>41</v>
      </c>
      <c r="H22" s="2">
        <v>150</v>
      </c>
      <c r="I22" s="41" t="s">
        <v>33</v>
      </c>
      <c r="L22" s="6">
        <v>5</v>
      </c>
      <c r="M22" s="2" t="s">
        <v>184</v>
      </c>
      <c r="N22" s="41" t="s">
        <v>8</v>
      </c>
    </row>
    <row r="23" spans="7:14" x14ac:dyDescent="0.35">
      <c r="G23" s="6" t="s">
        <v>20</v>
      </c>
      <c r="H23" s="2">
        <v>150</v>
      </c>
      <c r="I23" s="41" t="s">
        <v>23</v>
      </c>
      <c r="L23" s="6">
        <v>5</v>
      </c>
      <c r="M23" s="2" t="s">
        <v>185</v>
      </c>
      <c r="N23" s="41" t="s">
        <v>8</v>
      </c>
    </row>
    <row r="24" spans="7:14" ht="15" thickBot="1" x14ac:dyDescent="0.4">
      <c r="G24" s="7" t="s">
        <v>19</v>
      </c>
      <c r="H24" s="3">
        <v>461.41665999999998</v>
      </c>
      <c r="I24" s="43" t="s">
        <v>22</v>
      </c>
      <c r="L24" s="6">
        <v>5</v>
      </c>
      <c r="M24" s="2" t="s">
        <v>186</v>
      </c>
      <c r="N24" s="41" t="s">
        <v>8</v>
      </c>
    </row>
    <row r="25" spans="7:14" x14ac:dyDescent="0.35">
      <c r="L25" s="6">
        <v>5</v>
      </c>
      <c r="M25" s="2" t="s">
        <v>187</v>
      </c>
      <c r="N25" s="41" t="s">
        <v>8</v>
      </c>
    </row>
    <row r="26" spans="7:14" x14ac:dyDescent="0.35">
      <c r="L26" s="6">
        <v>5</v>
      </c>
      <c r="M26" s="2" t="s">
        <v>188</v>
      </c>
      <c r="N26" s="41" t="s">
        <v>8</v>
      </c>
    </row>
    <row r="27" spans="7:14" x14ac:dyDescent="0.35">
      <c r="L27" s="6">
        <v>11.41666</v>
      </c>
      <c r="M27" s="2" t="s">
        <v>189</v>
      </c>
      <c r="N27" s="41" t="s">
        <v>8</v>
      </c>
    </row>
    <row r="28" spans="7:14" x14ac:dyDescent="0.35">
      <c r="L28" s="6">
        <v>46</v>
      </c>
      <c r="M28" s="2" t="s">
        <v>5</v>
      </c>
      <c r="N28" s="41" t="s">
        <v>221</v>
      </c>
    </row>
    <row r="29" spans="7:14" x14ac:dyDescent="0.35">
      <c r="L29" s="6">
        <f>391+77/120-L30-L28</f>
        <v>154.12946666666664</v>
      </c>
      <c r="M29" s="2" t="s">
        <v>5</v>
      </c>
      <c r="N29" s="41" t="s">
        <v>25</v>
      </c>
    </row>
    <row r="30" spans="7:14" x14ac:dyDescent="0.35">
      <c r="L30" s="6">
        <f>'Tollarian Meltdown'!F21</f>
        <v>191.51220000000001</v>
      </c>
      <c r="M30" s="2" t="s">
        <v>5</v>
      </c>
      <c r="N30" s="41" t="s">
        <v>258</v>
      </c>
    </row>
    <row r="31" spans="7:14" x14ac:dyDescent="0.35">
      <c r="L31" s="6">
        <v>2.5</v>
      </c>
      <c r="M31" s="2" t="s">
        <v>179</v>
      </c>
      <c r="N31" s="41" t="s">
        <v>258</v>
      </c>
    </row>
    <row r="32" spans="7:14" x14ac:dyDescent="0.35">
      <c r="L32" s="6">
        <v>2.5</v>
      </c>
      <c r="M32" s="2" t="s">
        <v>180</v>
      </c>
      <c r="N32" s="41" t="s">
        <v>258</v>
      </c>
    </row>
    <row r="33" spans="12:22" x14ac:dyDescent="0.35">
      <c r="L33" s="6"/>
      <c r="M33" s="2"/>
      <c r="N33" s="41"/>
    </row>
    <row r="34" spans="12:22" x14ac:dyDescent="0.35">
      <c r="L34" s="6"/>
      <c r="M34" s="2"/>
      <c r="N34" s="41"/>
    </row>
    <row r="35" spans="12:22" x14ac:dyDescent="0.35">
      <c r="L35" s="6"/>
      <c r="M35" s="2"/>
      <c r="N35" s="41"/>
    </row>
    <row r="36" spans="12:22" x14ac:dyDescent="0.35">
      <c r="L36" s="6"/>
      <c r="M36" s="2"/>
      <c r="N36" s="41"/>
    </row>
    <row r="37" spans="12:22" x14ac:dyDescent="0.35">
      <c r="L37" s="6"/>
      <c r="M37" s="2"/>
      <c r="N37" s="41"/>
    </row>
    <row r="38" spans="12:22" ht="15" thickBot="1" x14ac:dyDescent="0.4">
      <c r="L38" s="7"/>
      <c r="M38" s="3"/>
      <c r="N38" s="43"/>
      <c r="V38">
        <f>2.73+171+99/100+11+122/225+5.25</f>
        <v>191.51222222222222</v>
      </c>
    </row>
  </sheetData>
  <mergeCells count="2">
    <mergeCell ref="G12:I12"/>
    <mergeCell ref="L12:N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874B-EB1A-40E9-945A-ABFDF311093C}">
  <dimension ref="B1:Q44"/>
  <sheetViews>
    <sheetView topLeftCell="H1" zoomScale="85" zoomScaleNormal="85" workbookViewId="0">
      <selection activeCell="Q25" sqref="Q25"/>
    </sheetView>
  </sheetViews>
  <sheetFormatPr defaultColWidth="8.81640625" defaultRowHeight="14.5" x14ac:dyDescent="0.35"/>
  <cols>
    <col min="2" max="2" width="17.81640625" bestFit="1" customWidth="1"/>
    <col min="3" max="3" width="27.7265625" customWidth="1"/>
    <col min="5" max="5" width="14.90625" bestFit="1" customWidth="1"/>
    <col min="6" max="6" width="9.81640625" bestFit="1" customWidth="1"/>
    <col min="7" max="7" width="19.81640625" bestFit="1" customWidth="1"/>
    <col min="10" max="10" width="10.81640625" bestFit="1" customWidth="1"/>
    <col min="11" max="11" width="17.6328125" bestFit="1" customWidth="1"/>
    <col min="12" max="12" width="16.26953125" bestFit="1" customWidth="1"/>
    <col min="17" max="17" width="13.08984375" customWidth="1"/>
  </cols>
  <sheetData>
    <row r="1" spans="2:15" ht="15" thickBot="1" x14ac:dyDescent="0.4"/>
    <row r="2" spans="2:15" x14ac:dyDescent="0.35">
      <c r="B2" s="20" t="s">
        <v>9</v>
      </c>
      <c r="C2" s="24" t="s">
        <v>191</v>
      </c>
    </row>
    <row r="3" spans="2:15" x14ac:dyDescent="0.35">
      <c r="B3" s="27" t="s">
        <v>10</v>
      </c>
      <c r="C3" s="46" t="s">
        <v>131</v>
      </c>
    </row>
    <row r="4" spans="2:15" ht="27.5" customHeight="1" x14ac:dyDescent="0.35">
      <c r="B4" s="21" t="s">
        <v>11</v>
      </c>
      <c r="C4" s="62" t="s">
        <v>271</v>
      </c>
    </row>
    <row r="5" spans="2:15" x14ac:dyDescent="0.35">
      <c r="B5" s="21" t="s">
        <v>12</v>
      </c>
      <c r="C5" s="25" t="s">
        <v>192</v>
      </c>
    </row>
    <row r="6" spans="2:15" x14ac:dyDescent="0.35">
      <c r="B6" s="21" t="s">
        <v>13</v>
      </c>
      <c r="C6" s="25" t="s">
        <v>381</v>
      </c>
      <c r="F6">
        <f>5800/4352.7</f>
        <v>1.3325062604819997</v>
      </c>
    </row>
    <row r="7" spans="2:15" x14ac:dyDescent="0.35">
      <c r="B7" s="21" t="s">
        <v>14</v>
      </c>
      <c r="C7" s="25" t="s">
        <v>382</v>
      </c>
    </row>
    <row r="8" spans="2:15" x14ac:dyDescent="0.35">
      <c r="B8" s="21" t="s">
        <v>31</v>
      </c>
      <c r="C8" s="25" t="s">
        <v>193</v>
      </c>
    </row>
    <row r="9" spans="2:15" ht="15" thickBot="1" x14ac:dyDescent="0.4">
      <c r="B9" s="22" t="s">
        <v>32</v>
      </c>
      <c r="C9" s="26" t="s">
        <v>194</v>
      </c>
    </row>
    <row r="10" spans="2:15" ht="15" thickBot="1" x14ac:dyDescent="0.4">
      <c r="C10" s="23"/>
      <c r="E10" s="92" t="s">
        <v>15</v>
      </c>
      <c r="F10" s="93"/>
      <c r="G10" s="94"/>
      <c r="J10" s="92" t="s">
        <v>16</v>
      </c>
      <c r="K10" s="93"/>
      <c r="L10" s="94"/>
    </row>
    <row r="11" spans="2:15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5" ht="15" thickBot="1" x14ac:dyDescent="0.4">
      <c r="C12" s="23"/>
      <c r="E12" s="4" t="s">
        <v>61</v>
      </c>
      <c r="F12" s="8">
        <v>2214.2849999999999</v>
      </c>
      <c r="G12" s="4" t="s">
        <v>21</v>
      </c>
      <c r="J12" s="38">
        <f>2480-J13-J14-J15-J16</f>
        <v>620</v>
      </c>
      <c r="K12" s="8" t="s">
        <v>137</v>
      </c>
      <c r="L12" s="4" t="s">
        <v>25</v>
      </c>
    </row>
    <row r="13" spans="2:15" ht="15" thickBot="1" x14ac:dyDescent="0.4">
      <c r="C13" s="23"/>
      <c r="E13" s="2" t="s">
        <v>18</v>
      </c>
      <c r="F13" s="9">
        <v>620</v>
      </c>
      <c r="G13" s="4" t="s">
        <v>21</v>
      </c>
      <c r="J13" s="38">
        <v>515</v>
      </c>
      <c r="K13" s="9" t="s">
        <v>137</v>
      </c>
      <c r="L13" s="4" t="s">
        <v>203</v>
      </c>
      <c r="N13" s="48" t="s">
        <v>204</v>
      </c>
      <c r="O13" s="14" t="s">
        <v>25</v>
      </c>
    </row>
    <row r="14" spans="2:15" x14ac:dyDescent="0.35">
      <c r="C14" s="23"/>
      <c r="E14" s="2" t="s">
        <v>88</v>
      </c>
      <c r="F14" s="9">
        <v>1148.5714</v>
      </c>
      <c r="G14" s="4" t="s">
        <v>21</v>
      </c>
      <c r="J14" s="38">
        <f>66+2/3</f>
        <v>66.666666666666671</v>
      </c>
      <c r="K14" s="9" t="s">
        <v>137</v>
      </c>
      <c r="L14" s="4" t="s">
        <v>234</v>
      </c>
      <c r="N14" s="5">
        <v>1</v>
      </c>
      <c r="O14" s="4">
        <v>0</v>
      </c>
    </row>
    <row r="15" spans="2:15" x14ac:dyDescent="0.35">
      <c r="C15" s="23"/>
      <c r="E15" s="2" t="s">
        <v>88</v>
      </c>
      <c r="F15" s="9">
        <v>180</v>
      </c>
      <c r="G15" s="2" t="s">
        <v>195</v>
      </c>
      <c r="J15" s="38">
        <f>734+32/45</f>
        <v>734.71111111111111</v>
      </c>
      <c r="K15" s="9" t="s">
        <v>137</v>
      </c>
      <c r="L15" s="4" t="s">
        <v>258</v>
      </c>
      <c r="N15" s="6">
        <v>2</v>
      </c>
      <c r="O15" s="2">
        <v>620</v>
      </c>
    </row>
    <row r="16" spans="2:15" x14ac:dyDescent="0.35">
      <c r="C16" s="23"/>
      <c r="E16" s="2" t="s">
        <v>17</v>
      </c>
      <c r="F16" s="9">
        <v>1240</v>
      </c>
      <c r="G16" s="2" t="s">
        <v>21</v>
      </c>
      <c r="J16" s="38">
        <f>543+28/45</f>
        <v>543.62222222222226</v>
      </c>
      <c r="K16" s="9" t="s">
        <v>137</v>
      </c>
      <c r="L16" s="4" t="s">
        <v>395</v>
      </c>
      <c r="N16" s="6">
        <v>3</v>
      </c>
      <c r="O16" s="2">
        <v>0</v>
      </c>
    </row>
    <row r="17" spans="3:17" ht="15" thickBot="1" x14ac:dyDescent="0.4">
      <c r="C17" s="23"/>
      <c r="E17" s="2" t="s">
        <v>19</v>
      </c>
      <c r="F17" s="9">
        <v>744</v>
      </c>
      <c r="G17" s="4" t="s">
        <v>21</v>
      </c>
      <c r="J17" s="38"/>
      <c r="K17" s="9"/>
      <c r="L17" s="4"/>
      <c r="N17" s="7">
        <v>4</v>
      </c>
      <c r="O17" s="3">
        <v>0</v>
      </c>
      <c r="Q17">
        <f>O17+O16+O14</f>
        <v>0</v>
      </c>
    </row>
    <row r="18" spans="3:17" x14ac:dyDescent="0.35">
      <c r="C18" s="23"/>
      <c r="E18" s="2" t="s">
        <v>132</v>
      </c>
      <c r="F18" s="9">
        <v>1680</v>
      </c>
      <c r="G18" s="2" t="s">
        <v>21</v>
      </c>
      <c r="J18" s="38"/>
      <c r="K18" s="9"/>
      <c r="L18" s="4"/>
    </row>
    <row r="19" spans="3:17" x14ac:dyDescent="0.35">
      <c r="C19" s="23"/>
      <c r="E19" s="2" t="s">
        <v>132</v>
      </c>
      <c r="F19" s="9">
        <v>180</v>
      </c>
      <c r="G19" s="2" t="s">
        <v>195</v>
      </c>
      <c r="J19" s="11"/>
      <c r="K19" s="9"/>
      <c r="L19" s="4"/>
    </row>
    <row r="20" spans="3:17" x14ac:dyDescent="0.35">
      <c r="C20" s="23"/>
      <c r="E20" s="2"/>
      <c r="F20" s="9"/>
      <c r="G20" s="2"/>
      <c r="J20" s="11"/>
      <c r="K20" s="9"/>
      <c r="L20" s="4"/>
    </row>
    <row r="21" spans="3:17" x14ac:dyDescent="0.35">
      <c r="C21" s="23"/>
      <c r="E21" s="2"/>
      <c r="F21" s="9"/>
      <c r="G21" s="2"/>
      <c r="J21" s="11"/>
      <c r="K21" s="9"/>
      <c r="L21" s="4"/>
    </row>
    <row r="22" spans="3:17" x14ac:dyDescent="0.35">
      <c r="C22" s="23"/>
      <c r="E22" s="2"/>
      <c r="F22" s="9"/>
      <c r="G22" s="2"/>
      <c r="J22" s="11"/>
      <c r="K22" s="9"/>
      <c r="L22" s="4"/>
    </row>
    <row r="23" spans="3:17" x14ac:dyDescent="0.35">
      <c r="C23" s="23"/>
      <c r="E23" s="2"/>
      <c r="F23" s="9"/>
      <c r="G23" s="2"/>
      <c r="J23" s="11"/>
      <c r="K23" s="9"/>
      <c r="L23" s="4"/>
    </row>
    <row r="24" spans="3:17" x14ac:dyDescent="0.35">
      <c r="C24" s="23"/>
      <c r="E24" s="2"/>
      <c r="F24" s="9"/>
      <c r="G24" s="2"/>
      <c r="J24" s="11"/>
      <c r="K24" s="9"/>
      <c r="L24" s="4"/>
    </row>
    <row r="25" spans="3:17" x14ac:dyDescent="0.35">
      <c r="C25" s="23"/>
      <c r="E25" s="2"/>
      <c r="F25" s="9"/>
      <c r="G25" s="2"/>
      <c r="J25" s="11"/>
      <c r="K25" s="9"/>
      <c r="L25" s="4"/>
    </row>
    <row r="26" spans="3:17" x14ac:dyDescent="0.35">
      <c r="C26" s="23"/>
      <c r="E26" s="2"/>
      <c r="F26" s="9"/>
      <c r="G26" s="2"/>
      <c r="J26" s="11"/>
      <c r="K26" s="9"/>
      <c r="L26" s="4"/>
    </row>
    <row r="27" spans="3:17" x14ac:dyDescent="0.35">
      <c r="C27" s="23"/>
      <c r="E27" s="2"/>
      <c r="F27" s="9"/>
      <c r="G27" s="2"/>
      <c r="J27" s="11"/>
      <c r="K27" s="9"/>
      <c r="L27" s="4"/>
    </row>
    <row r="28" spans="3:17" x14ac:dyDescent="0.35">
      <c r="C28" s="23"/>
      <c r="E28" s="2"/>
      <c r="F28" s="9"/>
      <c r="G28" s="2"/>
      <c r="J28" s="11"/>
      <c r="K28" s="9"/>
      <c r="L28" s="4"/>
    </row>
    <row r="29" spans="3:17" x14ac:dyDescent="0.35">
      <c r="C29" s="23"/>
      <c r="E29" s="2"/>
      <c r="F29" s="9"/>
      <c r="G29" s="2"/>
      <c r="J29" s="11"/>
      <c r="K29" s="9"/>
      <c r="L29" s="4"/>
    </row>
    <row r="30" spans="3:17" x14ac:dyDescent="0.35">
      <c r="C30" s="23"/>
      <c r="E30" s="2"/>
      <c r="F30" s="9"/>
      <c r="G30" s="2"/>
      <c r="J30" s="11"/>
      <c r="K30" s="9"/>
      <c r="L30" s="2"/>
    </row>
    <row r="31" spans="3:17" x14ac:dyDescent="0.35">
      <c r="C31" s="23"/>
      <c r="E31" s="2"/>
      <c r="F31" s="9"/>
      <c r="G31" s="2"/>
      <c r="J31" s="11"/>
      <c r="K31" s="9"/>
      <c r="L31" s="2"/>
    </row>
    <row r="32" spans="3:17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88AE-32E3-44FC-A747-B6B7B3960AE2}">
  <dimension ref="B1:L44"/>
  <sheetViews>
    <sheetView topLeftCell="A3" zoomScale="85" zoomScaleNormal="85" workbookViewId="0">
      <selection activeCell="F21" sqref="F21"/>
    </sheetView>
  </sheetViews>
  <sheetFormatPr defaultRowHeight="14.5" x14ac:dyDescent="0.35"/>
  <cols>
    <col min="2" max="2" width="17.81640625" bestFit="1" customWidth="1"/>
    <col min="3" max="3" width="14.36328125" bestFit="1" customWidth="1"/>
    <col min="5" max="5" width="18.7265625" bestFit="1" customWidth="1"/>
    <col min="6" max="6" width="10.81640625" bestFit="1" customWidth="1"/>
    <col min="7" max="7" width="16.453125" bestFit="1" customWidth="1"/>
    <col min="10" max="10" width="4.81640625" bestFit="1" customWidth="1"/>
    <col min="11" max="11" width="22.5429687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203</v>
      </c>
    </row>
    <row r="3" spans="2:12" ht="101.5" x14ac:dyDescent="0.35">
      <c r="B3" s="27" t="s">
        <v>10</v>
      </c>
      <c r="C3" s="28" t="s">
        <v>214</v>
      </c>
    </row>
    <row r="4" spans="2:12" x14ac:dyDescent="0.35">
      <c r="B4" s="21" t="s">
        <v>11</v>
      </c>
      <c r="C4" s="25"/>
    </row>
    <row r="5" spans="2:12" x14ac:dyDescent="0.35">
      <c r="B5" s="21" t="s">
        <v>12</v>
      </c>
      <c r="C5" s="25"/>
    </row>
    <row r="6" spans="2:12" x14ac:dyDescent="0.35">
      <c r="B6" s="21" t="s">
        <v>13</v>
      </c>
      <c r="C6" s="25" t="s">
        <v>386</v>
      </c>
    </row>
    <row r="7" spans="2:12" x14ac:dyDescent="0.35">
      <c r="B7" s="21" t="s">
        <v>14</v>
      </c>
      <c r="C7" s="25" t="s">
        <v>387</v>
      </c>
    </row>
    <row r="8" spans="2:12" x14ac:dyDescent="0.35">
      <c r="B8" s="21" t="s">
        <v>31</v>
      </c>
      <c r="C8" s="25" t="s">
        <v>206</v>
      </c>
    </row>
    <row r="9" spans="2:12" ht="15" thickBot="1" x14ac:dyDescent="0.4">
      <c r="B9" s="22" t="s">
        <v>32</v>
      </c>
      <c r="C9" s="26" t="s">
        <v>390</v>
      </c>
    </row>
    <row r="10" spans="2:12" ht="15" thickBot="1" x14ac:dyDescent="0.4">
      <c r="C10" s="23"/>
      <c r="E10" s="92" t="s">
        <v>15</v>
      </c>
      <c r="F10" s="93"/>
      <c r="G10" s="94"/>
      <c r="J10" s="92" t="s">
        <v>16</v>
      </c>
      <c r="K10" s="93"/>
      <c r="L10" s="94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207</v>
      </c>
      <c r="F12" s="8">
        <v>485.50555000000003</v>
      </c>
      <c r="G12" s="4" t="s">
        <v>60</v>
      </c>
      <c r="J12" s="38">
        <v>5</v>
      </c>
      <c r="K12" s="8" t="s">
        <v>215</v>
      </c>
      <c r="L12" s="4" t="s">
        <v>8</v>
      </c>
    </row>
    <row r="13" spans="2:12" x14ac:dyDescent="0.35">
      <c r="C13" s="23"/>
      <c r="E13" s="2" t="s">
        <v>61</v>
      </c>
      <c r="F13" s="9">
        <v>461.4</v>
      </c>
      <c r="G13" s="4" t="s">
        <v>60</v>
      </c>
      <c r="J13" s="38">
        <v>2.5</v>
      </c>
      <c r="K13" s="9" t="s">
        <v>216</v>
      </c>
      <c r="L13" s="4" t="s">
        <v>8</v>
      </c>
    </row>
    <row r="14" spans="2:12" x14ac:dyDescent="0.35">
      <c r="C14" s="23"/>
      <c r="E14" s="2" t="s">
        <v>49</v>
      </c>
      <c r="F14" s="9">
        <v>421.338888</v>
      </c>
      <c r="G14" s="4" t="s">
        <v>60</v>
      </c>
      <c r="J14" s="38">
        <v>2</v>
      </c>
      <c r="K14" s="9" t="s">
        <v>217</v>
      </c>
      <c r="L14" s="4" t="s">
        <v>8</v>
      </c>
    </row>
    <row r="15" spans="2:12" x14ac:dyDescent="0.35">
      <c r="C15" s="23"/>
      <c r="E15" s="2" t="s">
        <v>87</v>
      </c>
      <c r="F15" s="9">
        <v>176.4</v>
      </c>
      <c r="G15" s="2" t="s">
        <v>131</v>
      </c>
      <c r="J15" s="38">
        <v>2</v>
      </c>
      <c r="K15" s="9" t="s">
        <v>218</v>
      </c>
      <c r="L15" s="4" t="s">
        <v>8</v>
      </c>
    </row>
    <row r="16" spans="2:12" x14ac:dyDescent="0.35">
      <c r="C16" s="23"/>
      <c r="E16" s="2" t="s">
        <v>208</v>
      </c>
      <c r="F16" s="9">
        <v>72</v>
      </c>
      <c r="G16" s="2" t="s">
        <v>85</v>
      </c>
      <c r="J16" s="38">
        <v>2</v>
      </c>
      <c r="K16" s="9" t="s">
        <v>219</v>
      </c>
      <c r="L16" s="4" t="s">
        <v>8</v>
      </c>
    </row>
    <row r="17" spans="3:12" x14ac:dyDescent="0.35">
      <c r="C17" s="23"/>
      <c r="E17" s="2" t="s">
        <v>19</v>
      </c>
      <c r="F17" s="9">
        <v>599.9</v>
      </c>
      <c r="G17" s="2" t="s">
        <v>62</v>
      </c>
      <c r="J17" s="38">
        <v>1</v>
      </c>
      <c r="K17" s="9" t="s">
        <v>220</v>
      </c>
      <c r="L17" s="4" t="s">
        <v>8</v>
      </c>
    </row>
    <row r="18" spans="3:12" x14ac:dyDescent="0.35">
      <c r="C18" s="23"/>
      <c r="E18" s="2" t="s">
        <v>210</v>
      </c>
      <c r="F18" s="9">
        <v>392.66660000000002</v>
      </c>
      <c r="G18" s="2" t="s">
        <v>211</v>
      </c>
      <c r="J18" s="38"/>
      <c r="K18" s="9"/>
      <c r="L18" s="4"/>
    </row>
    <row r="19" spans="3:12" x14ac:dyDescent="0.35">
      <c r="C19" s="23"/>
      <c r="E19" s="2" t="s">
        <v>103</v>
      </c>
      <c r="F19" s="9">
        <v>109.5</v>
      </c>
      <c r="G19" s="2" t="s">
        <v>106</v>
      </c>
      <c r="J19" s="11"/>
      <c r="K19" s="9"/>
      <c r="L19" s="4"/>
    </row>
    <row r="20" spans="3:12" x14ac:dyDescent="0.35">
      <c r="C20" s="23"/>
      <c r="E20" s="2" t="s">
        <v>212</v>
      </c>
      <c r="F20" s="9">
        <v>72</v>
      </c>
      <c r="G20" s="2" t="s">
        <v>50</v>
      </c>
      <c r="J20" s="11"/>
      <c r="K20" s="9"/>
      <c r="L20" s="4"/>
    </row>
    <row r="21" spans="3:12" x14ac:dyDescent="0.35">
      <c r="C21" s="23"/>
      <c r="E21" s="2" t="s">
        <v>213</v>
      </c>
      <c r="F21" s="9">
        <v>515</v>
      </c>
      <c r="G21" s="2" t="s">
        <v>191</v>
      </c>
      <c r="J21" s="11"/>
      <c r="K21" s="9"/>
      <c r="L21" s="4"/>
    </row>
    <row r="22" spans="3:12" x14ac:dyDescent="0.35">
      <c r="C22" s="23"/>
      <c r="E22" s="2" t="s">
        <v>171</v>
      </c>
      <c r="F22" s="9">
        <v>1.55</v>
      </c>
      <c r="G22" s="2" t="s">
        <v>162</v>
      </c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3A23-66AC-4695-AC89-14BEBEA38B1D}">
  <dimension ref="B1:L44"/>
  <sheetViews>
    <sheetView topLeftCell="B1" workbookViewId="0">
      <selection activeCell="C21" sqref="C21"/>
    </sheetView>
  </sheetViews>
  <sheetFormatPr defaultRowHeight="14.5" x14ac:dyDescent="0.35"/>
  <cols>
    <col min="2" max="2" width="17.81640625" bestFit="1" customWidth="1"/>
    <col min="3" max="3" width="22.54296875" bestFit="1" customWidth="1"/>
    <col min="5" max="5" width="13.36328125" bestFit="1" customWidth="1"/>
    <col min="6" max="6" width="8.81640625" bestFit="1" customWidth="1"/>
    <col min="7" max="7" width="19.7265625" bestFit="1" customWidth="1"/>
    <col min="10" max="10" width="25.179687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221</v>
      </c>
    </row>
    <row r="3" spans="2:12" ht="58" x14ac:dyDescent="0.35">
      <c r="B3" s="27" t="s">
        <v>10</v>
      </c>
      <c r="C3" s="31" t="s">
        <v>222</v>
      </c>
    </row>
    <row r="4" spans="2:12" x14ac:dyDescent="0.35">
      <c r="B4" s="21" t="s">
        <v>11</v>
      </c>
      <c r="C4" s="25"/>
    </row>
    <row r="5" spans="2:12" x14ac:dyDescent="0.35">
      <c r="B5" s="21" t="s">
        <v>12</v>
      </c>
      <c r="C5" s="25"/>
    </row>
    <row r="6" spans="2:12" x14ac:dyDescent="0.35">
      <c r="B6" s="21" t="s">
        <v>13</v>
      </c>
      <c r="C6" s="25" t="s">
        <v>223</v>
      </c>
    </row>
    <row r="7" spans="2:12" x14ac:dyDescent="0.35">
      <c r="B7" s="21" t="s">
        <v>14</v>
      </c>
      <c r="C7" s="25" t="s">
        <v>224</v>
      </c>
    </row>
    <row r="8" spans="2:12" x14ac:dyDescent="0.35">
      <c r="B8" s="21" t="s">
        <v>31</v>
      </c>
      <c r="C8" s="25" t="s">
        <v>163</v>
      </c>
    </row>
    <row r="9" spans="2:12" ht="15" thickBot="1" x14ac:dyDescent="0.4">
      <c r="B9" s="22" t="s">
        <v>32</v>
      </c>
      <c r="C9" s="26" t="s">
        <v>225</v>
      </c>
    </row>
    <row r="10" spans="2:12" ht="15" thickBot="1" x14ac:dyDescent="0.4">
      <c r="C10" s="23"/>
      <c r="E10" s="92" t="s">
        <v>15</v>
      </c>
      <c r="F10" s="93"/>
      <c r="G10" s="94"/>
      <c r="J10" s="92" t="s">
        <v>16</v>
      </c>
      <c r="K10" s="93"/>
      <c r="L10" s="94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41</v>
      </c>
      <c r="F12" s="8">
        <v>12.0138</v>
      </c>
      <c r="G12" s="4" t="s">
        <v>33</v>
      </c>
      <c r="J12" s="38" t="s">
        <v>229</v>
      </c>
      <c r="K12" s="8">
        <f>5/8</f>
        <v>0.625</v>
      </c>
      <c r="L12" s="4" t="s">
        <v>8</v>
      </c>
    </row>
    <row r="13" spans="2:12" x14ac:dyDescent="0.35">
      <c r="C13" s="23"/>
      <c r="E13" s="2" t="s">
        <v>61</v>
      </c>
      <c r="F13" s="9">
        <v>138.01249999999999</v>
      </c>
      <c r="G13" s="4" t="s">
        <v>226</v>
      </c>
      <c r="J13" s="38" t="s">
        <v>230</v>
      </c>
      <c r="K13" s="9">
        <v>1</v>
      </c>
      <c r="L13" s="4" t="s">
        <v>8</v>
      </c>
    </row>
    <row r="14" spans="2:12" x14ac:dyDescent="0.35">
      <c r="C14" s="23"/>
      <c r="E14" s="2" t="s">
        <v>49</v>
      </c>
      <c r="F14" s="9">
        <v>98.243700000000004</v>
      </c>
      <c r="G14" s="4" t="s">
        <v>227</v>
      </c>
      <c r="J14" s="38" t="s">
        <v>231</v>
      </c>
      <c r="K14" s="9">
        <v>0.5</v>
      </c>
      <c r="L14" s="4" t="s">
        <v>8</v>
      </c>
    </row>
    <row r="15" spans="2:12" x14ac:dyDescent="0.35">
      <c r="C15" s="23"/>
      <c r="E15" s="2" t="s">
        <v>87</v>
      </c>
      <c r="F15" s="9">
        <v>28.6</v>
      </c>
      <c r="G15" s="2" t="s">
        <v>131</v>
      </c>
      <c r="J15" s="38" t="s">
        <v>232</v>
      </c>
      <c r="K15" s="9">
        <v>3.5</v>
      </c>
      <c r="L15" s="4" t="s">
        <v>8</v>
      </c>
    </row>
    <row r="16" spans="2:12" x14ac:dyDescent="0.35">
      <c r="C16" s="23"/>
      <c r="E16" s="2" t="s">
        <v>19</v>
      </c>
      <c r="F16" s="9">
        <v>209.1062</v>
      </c>
      <c r="G16" s="2" t="s">
        <v>22</v>
      </c>
      <c r="J16" s="38" t="s">
        <v>233</v>
      </c>
      <c r="K16" s="9">
        <v>0.5</v>
      </c>
      <c r="L16" s="4" t="s">
        <v>8</v>
      </c>
    </row>
    <row r="17" spans="3:12" x14ac:dyDescent="0.35">
      <c r="C17" s="23"/>
      <c r="E17" s="2" t="s">
        <v>210</v>
      </c>
      <c r="F17" s="9">
        <v>110.01</v>
      </c>
      <c r="G17" s="2" t="s">
        <v>55</v>
      </c>
      <c r="J17" s="38"/>
      <c r="K17" s="9"/>
      <c r="L17" s="4"/>
    </row>
    <row r="18" spans="3:12" x14ac:dyDescent="0.35">
      <c r="C18" s="23"/>
      <c r="E18" s="2" t="s">
        <v>5</v>
      </c>
      <c r="F18" s="9">
        <v>46</v>
      </c>
      <c r="G18" s="2" t="s">
        <v>173</v>
      </c>
      <c r="J18" s="38"/>
      <c r="K18" s="9"/>
      <c r="L18" s="4"/>
    </row>
    <row r="19" spans="3:12" x14ac:dyDescent="0.35">
      <c r="C19" s="23"/>
      <c r="E19" s="2" t="s">
        <v>212</v>
      </c>
      <c r="F19" s="9">
        <v>5</v>
      </c>
      <c r="G19" s="2" t="s">
        <v>50</v>
      </c>
      <c r="J19" s="11"/>
      <c r="K19" s="9"/>
      <c r="L19" s="4"/>
    </row>
    <row r="20" spans="3:12" x14ac:dyDescent="0.35">
      <c r="C20" s="23"/>
      <c r="E20" s="2" t="s">
        <v>228</v>
      </c>
      <c r="F20" s="9">
        <v>0.5</v>
      </c>
      <c r="G20" s="2" t="s">
        <v>148</v>
      </c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A6DD-AC17-49B1-B5E4-69C720E1D60E}">
  <dimension ref="B1:L47"/>
  <sheetViews>
    <sheetView topLeftCell="H1" zoomScaleNormal="100" workbookViewId="0">
      <selection activeCell="B2" sqref="B2:L47"/>
    </sheetView>
  </sheetViews>
  <sheetFormatPr defaultRowHeight="14.5" x14ac:dyDescent="0.35"/>
  <cols>
    <col min="2" max="2" width="34.453125" bestFit="1" customWidth="1"/>
    <col min="3" max="3" width="29.6328125" bestFit="1" customWidth="1"/>
    <col min="5" max="5" width="18.7265625" bestFit="1" customWidth="1"/>
    <col min="6" max="6" width="10.81640625" bestFit="1" customWidth="1"/>
    <col min="7" max="7" width="22.08984375" bestFit="1" customWidth="1"/>
    <col min="10" max="10" width="26.08984375" bestFit="1" customWidth="1"/>
    <col min="11" max="11" width="10" bestFit="1" customWidth="1"/>
    <col min="12" max="12" width="18.54296875" bestFit="1" customWidth="1"/>
    <col min="16" max="16" width="11.81640625" bestFit="1" customWidth="1"/>
  </cols>
  <sheetData>
    <row r="1" spans="2:12" ht="15" thickBot="1" x14ac:dyDescent="0.4"/>
    <row r="2" spans="2:12" x14ac:dyDescent="0.35">
      <c r="B2" s="16" t="s">
        <v>9</v>
      </c>
      <c r="C2" s="64" t="s">
        <v>234</v>
      </c>
    </row>
    <row r="3" spans="2:12" ht="56.5" customHeight="1" x14ac:dyDescent="0.35">
      <c r="B3" s="50" t="s">
        <v>10</v>
      </c>
      <c r="C3" s="65" t="s">
        <v>237</v>
      </c>
    </row>
    <row r="4" spans="2:12" ht="17" customHeight="1" x14ac:dyDescent="0.35">
      <c r="B4" s="69" t="s">
        <v>11</v>
      </c>
      <c r="C4" s="68"/>
    </row>
    <row r="5" spans="2:12" x14ac:dyDescent="0.35">
      <c r="B5" s="17" t="s">
        <v>12</v>
      </c>
      <c r="C5" s="66"/>
    </row>
    <row r="6" spans="2:12" x14ac:dyDescent="0.35">
      <c r="B6" s="17" t="s">
        <v>242</v>
      </c>
      <c r="C6" s="66" t="s">
        <v>379</v>
      </c>
    </row>
    <row r="7" spans="2:12" x14ac:dyDescent="0.35">
      <c r="B7" s="17" t="s">
        <v>243</v>
      </c>
      <c r="C7" s="66" t="s">
        <v>248</v>
      </c>
    </row>
    <row r="8" spans="2:12" x14ac:dyDescent="0.35">
      <c r="B8" s="17" t="s">
        <v>244</v>
      </c>
      <c r="C8" s="66" t="s">
        <v>388</v>
      </c>
    </row>
    <row r="9" spans="2:12" x14ac:dyDescent="0.35">
      <c r="B9" s="17" t="s">
        <v>245</v>
      </c>
      <c r="C9" s="66" t="s">
        <v>249</v>
      </c>
    </row>
    <row r="10" spans="2:12" x14ac:dyDescent="0.35">
      <c r="B10" s="17" t="s">
        <v>246</v>
      </c>
      <c r="C10" s="66" t="s">
        <v>250</v>
      </c>
    </row>
    <row r="11" spans="2:12" ht="15" thickBot="1" x14ac:dyDescent="0.4">
      <c r="B11" s="18" t="s">
        <v>247</v>
      </c>
      <c r="C11" s="67" t="s">
        <v>251</v>
      </c>
    </row>
    <row r="12" spans="2:12" ht="15" thickBot="1" x14ac:dyDescent="0.4">
      <c r="C12" s="23"/>
    </row>
    <row r="13" spans="2:12" ht="15" thickBot="1" x14ac:dyDescent="0.4">
      <c r="C13" s="23"/>
      <c r="E13" s="92" t="s">
        <v>15</v>
      </c>
      <c r="F13" s="93"/>
      <c r="G13" s="94"/>
      <c r="J13" s="92" t="s">
        <v>16</v>
      </c>
      <c r="K13" s="93"/>
      <c r="L13" s="94"/>
    </row>
    <row r="14" spans="2:12" ht="15" thickBot="1" x14ac:dyDescent="0.4">
      <c r="C14" s="23"/>
      <c r="E14" s="14" t="s">
        <v>0</v>
      </c>
      <c r="F14" s="12" t="s">
        <v>1</v>
      </c>
      <c r="G14" s="14" t="s">
        <v>2</v>
      </c>
      <c r="J14" s="14" t="s">
        <v>0</v>
      </c>
      <c r="K14" s="12" t="s">
        <v>1</v>
      </c>
      <c r="L14" s="14" t="s">
        <v>24</v>
      </c>
    </row>
    <row r="15" spans="2:12" x14ac:dyDescent="0.35">
      <c r="C15" s="23"/>
      <c r="E15" s="4" t="s">
        <v>156</v>
      </c>
      <c r="F15" s="8">
        <v>2</v>
      </c>
      <c r="G15" s="4" t="s">
        <v>148</v>
      </c>
      <c r="J15" s="38" t="s">
        <v>239</v>
      </c>
      <c r="K15" s="8">
        <v>20</v>
      </c>
      <c r="L15" s="4" t="s">
        <v>8</v>
      </c>
    </row>
    <row r="16" spans="2:12" x14ac:dyDescent="0.35">
      <c r="C16" s="23"/>
      <c r="E16" s="2" t="s">
        <v>34</v>
      </c>
      <c r="F16" s="9">
        <v>0.88880000000000003</v>
      </c>
      <c r="G16" s="4" t="s">
        <v>21</v>
      </c>
      <c r="J16" s="38" t="s">
        <v>240</v>
      </c>
      <c r="K16" s="9">
        <v>0.5</v>
      </c>
      <c r="L16" s="4" t="s">
        <v>8</v>
      </c>
    </row>
    <row r="17" spans="3:12" x14ac:dyDescent="0.35">
      <c r="C17" s="23"/>
      <c r="E17" s="2" t="s">
        <v>167</v>
      </c>
      <c r="F17" s="9">
        <v>25</v>
      </c>
      <c r="G17" s="4" t="s">
        <v>236</v>
      </c>
      <c r="J17" s="38" t="s">
        <v>241</v>
      </c>
      <c r="K17" s="9">
        <v>0.5</v>
      </c>
      <c r="L17" s="4" t="s">
        <v>8</v>
      </c>
    </row>
    <row r="18" spans="3:12" x14ac:dyDescent="0.35">
      <c r="C18" s="23"/>
      <c r="E18" s="2" t="s">
        <v>54</v>
      </c>
      <c r="F18" s="9">
        <v>40.888800000000003</v>
      </c>
      <c r="G18" s="2" t="s">
        <v>238</v>
      </c>
      <c r="J18" s="38"/>
      <c r="K18" s="9"/>
      <c r="L18" s="4"/>
    </row>
    <row r="19" spans="3:12" x14ac:dyDescent="0.35">
      <c r="C19" s="23"/>
      <c r="E19" s="2" t="s">
        <v>137</v>
      </c>
      <c r="F19" s="9">
        <v>66.666600000000003</v>
      </c>
      <c r="G19" s="2" t="s">
        <v>191</v>
      </c>
      <c r="J19" s="38"/>
      <c r="K19" s="9"/>
      <c r="L19" s="4"/>
    </row>
    <row r="20" spans="3:12" x14ac:dyDescent="0.35">
      <c r="C20" s="23"/>
      <c r="E20" s="2" t="s">
        <v>61</v>
      </c>
      <c r="F20" s="9">
        <v>72.8</v>
      </c>
      <c r="G20" s="2" t="s">
        <v>195</v>
      </c>
      <c r="J20" s="38"/>
      <c r="K20" s="9"/>
      <c r="L20" s="4"/>
    </row>
    <row r="21" spans="3:12" x14ac:dyDescent="0.35">
      <c r="C21" s="23"/>
      <c r="E21" s="2" t="s">
        <v>19</v>
      </c>
      <c r="F21" s="9">
        <v>263.13580000000002</v>
      </c>
      <c r="G21" s="2" t="s">
        <v>22</v>
      </c>
      <c r="J21" s="38"/>
      <c r="K21" s="9"/>
      <c r="L21" s="4"/>
    </row>
    <row r="22" spans="3:12" x14ac:dyDescent="0.35">
      <c r="C22" s="23"/>
      <c r="E22" s="2" t="s">
        <v>49</v>
      </c>
      <c r="F22" s="9">
        <v>303.70370000000003</v>
      </c>
      <c r="G22" s="2" t="s">
        <v>60</v>
      </c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4"/>
    </row>
    <row r="31" spans="3:12" x14ac:dyDescent="0.35">
      <c r="C31" s="23"/>
      <c r="E31" s="2"/>
      <c r="F31" s="9"/>
      <c r="G31" s="2"/>
      <c r="J31" s="11"/>
      <c r="K31" s="9"/>
      <c r="L31" s="4"/>
    </row>
    <row r="32" spans="3:12" x14ac:dyDescent="0.35">
      <c r="C32" s="23"/>
      <c r="E32" s="2"/>
      <c r="F32" s="9"/>
      <c r="G32" s="2"/>
      <c r="J32" s="11"/>
      <c r="K32" s="9"/>
      <c r="L32" s="4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11"/>
      <c r="K41" s="9"/>
      <c r="L41" s="2"/>
    </row>
    <row r="42" spans="3:12" x14ac:dyDescent="0.35">
      <c r="E42" s="2"/>
      <c r="F42" s="9"/>
      <c r="G42" s="2"/>
      <c r="J42" s="11"/>
      <c r="K42" s="9"/>
      <c r="L42" s="2"/>
    </row>
    <row r="43" spans="3:12" x14ac:dyDescent="0.35">
      <c r="E43" s="2"/>
      <c r="F43" s="9"/>
      <c r="G43" s="2"/>
      <c r="J43" s="11"/>
      <c r="K43" s="9"/>
      <c r="L43" s="2"/>
    </row>
    <row r="44" spans="3:12" x14ac:dyDescent="0.35">
      <c r="E44" s="2"/>
      <c r="F44" s="9"/>
      <c r="G44" s="2"/>
      <c r="J44" s="2"/>
      <c r="K44" s="9"/>
      <c r="L44" s="2"/>
    </row>
    <row r="45" spans="3:12" x14ac:dyDescent="0.35">
      <c r="E45" s="2"/>
      <c r="F45" s="9"/>
      <c r="G45" s="2"/>
      <c r="J45" s="2"/>
      <c r="K45" s="9"/>
      <c r="L45" s="2"/>
    </row>
    <row r="46" spans="3:12" x14ac:dyDescent="0.35">
      <c r="E46" s="2"/>
      <c r="F46" s="9"/>
      <c r="G46" s="2"/>
      <c r="J46" s="2"/>
      <c r="K46" s="9"/>
      <c r="L46" s="2"/>
    </row>
    <row r="47" spans="3:12" ht="15" thickBot="1" x14ac:dyDescent="0.4">
      <c r="E47" s="3"/>
      <c r="F47" s="10"/>
      <c r="G47" s="3"/>
      <c r="J47" s="3"/>
      <c r="K47" s="10"/>
      <c r="L47" s="3"/>
    </row>
  </sheetData>
  <mergeCells count="2">
    <mergeCell ref="E13:G13"/>
    <mergeCell ref="J13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CE8D-0CE2-4D53-8FB4-EA2891D6F3B5}">
  <dimension ref="C3:M38"/>
  <sheetViews>
    <sheetView workbookViewId="0">
      <selection activeCell="E37" sqref="E37"/>
    </sheetView>
  </sheetViews>
  <sheetFormatPr defaultRowHeight="14.5" x14ac:dyDescent="0.35"/>
  <cols>
    <col min="3" max="3" width="17.81640625" bestFit="1" customWidth="1"/>
    <col min="4" max="4" width="19.26953125" bestFit="1" customWidth="1"/>
    <col min="6" max="6" width="5.7265625" bestFit="1" customWidth="1"/>
    <col min="7" max="7" width="7.36328125" bestFit="1" customWidth="1"/>
    <col min="8" max="8" width="13.54296875" bestFit="1" customWidth="1"/>
    <col min="11" max="11" width="15.26953125" bestFit="1" customWidth="1"/>
    <col min="12" max="12" width="7.36328125" bestFit="1" customWidth="1"/>
    <col min="13" max="13" width="16.26953125" bestFit="1" customWidth="1"/>
  </cols>
  <sheetData>
    <row r="3" spans="3:13" ht="15" thickBot="1" x14ac:dyDescent="0.4"/>
    <row r="4" spans="3:13" ht="15" thickBot="1" x14ac:dyDescent="0.4">
      <c r="C4" s="16" t="s">
        <v>9</v>
      </c>
      <c r="D4" s="19" t="s">
        <v>4</v>
      </c>
      <c r="F4" s="92" t="s">
        <v>15</v>
      </c>
      <c r="G4" s="93"/>
      <c r="H4" s="94"/>
      <c r="K4" s="92" t="s">
        <v>16</v>
      </c>
      <c r="L4" s="93"/>
      <c r="M4" s="94"/>
    </row>
    <row r="5" spans="3:13" ht="15" thickBot="1" x14ac:dyDescent="0.4">
      <c r="C5" s="17" t="s">
        <v>10</v>
      </c>
      <c r="D5" s="2" t="s">
        <v>27</v>
      </c>
      <c r="F5" s="14" t="s">
        <v>0</v>
      </c>
      <c r="G5" s="12" t="s">
        <v>1</v>
      </c>
      <c r="H5" s="14" t="s">
        <v>2</v>
      </c>
      <c r="K5" s="14" t="s">
        <v>0</v>
      </c>
      <c r="L5" s="12" t="s">
        <v>1</v>
      </c>
      <c r="M5" s="14" t="s">
        <v>24</v>
      </c>
    </row>
    <row r="6" spans="3:13" x14ac:dyDescent="0.35">
      <c r="C6" s="17" t="s">
        <v>11</v>
      </c>
      <c r="D6" s="2" t="s">
        <v>27</v>
      </c>
      <c r="F6" s="4" t="s">
        <v>17</v>
      </c>
      <c r="G6" s="8">
        <v>480</v>
      </c>
      <c r="H6" s="4" t="s">
        <v>21</v>
      </c>
      <c r="K6" s="4" t="s">
        <v>5</v>
      </c>
      <c r="L6" s="8">
        <v>15</v>
      </c>
      <c r="M6" s="4" t="s">
        <v>8</v>
      </c>
    </row>
    <row r="7" spans="3:13" x14ac:dyDescent="0.35">
      <c r="C7" s="17" t="s">
        <v>12</v>
      </c>
      <c r="D7" s="2" t="s">
        <v>28</v>
      </c>
      <c r="F7" s="2" t="s">
        <v>18</v>
      </c>
      <c r="G7" s="9">
        <v>480</v>
      </c>
      <c r="H7" s="4" t="s">
        <v>21</v>
      </c>
      <c r="K7" s="2" t="s">
        <v>6</v>
      </c>
      <c r="L7" s="9">
        <v>5</v>
      </c>
      <c r="M7" s="4" t="s">
        <v>8</v>
      </c>
    </row>
    <row r="8" spans="3:13" x14ac:dyDescent="0.35">
      <c r="C8" s="17" t="s">
        <v>13</v>
      </c>
      <c r="D8" s="2" t="s">
        <v>29</v>
      </c>
      <c r="F8" s="2" t="s">
        <v>19</v>
      </c>
      <c r="G8" s="9">
        <v>780</v>
      </c>
      <c r="H8" s="2" t="s">
        <v>22</v>
      </c>
      <c r="K8" s="2" t="s">
        <v>5</v>
      </c>
      <c r="L8" s="9">
        <v>58.332999999999998</v>
      </c>
      <c r="M8" s="2" t="s">
        <v>25</v>
      </c>
    </row>
    <row r="9" spans="3:13" ht="15" thickBot="1" x14ac:dyDescent="0.4">
      <c r="C9" s="18" t="s">
        <v>14</v>
      </c>
      <c r="D9" s="3" t="s">
        <v>30</v>
      </c>
      <c r="F9" s="2" t="s">
        <v>20</v>
      </c>
      <c r="G9" s="9">
        <v>300</v>
      </c>
      <c r="H9" s="2" t="s">
        <v>23</v>
      </c>
      <c r="K9" s="2" t="s">
        <v>26</v>
      </c>
      <c r="L9" s="9">
        <v>10</v>
      </c>
      <c r="M9" s="4" t="s">
        <v>8</v>
      </c>
    </row>
    <row r="10" spans="3:13" x14ac:dyDescent="0.35">
      <c r="F10" s="2"/>
      <c r="G10" s="9"/>
      <c r="H10" s="2"/>
      <c r="K10" s="2"/>
      <c r="L10" s="9"/>
      <c r="M10" s="2"/>
    </row>
    <row r="11" spans="3:13" x14ac:dyDescent="0.35">
      <c r="F11" s="2"/>
      <c r="G11" s="9"/>
      <c r="H11" s="2"/>
      <c r="K11" s="2"/>
      <c r="L11" s="9"/>
      <c r="M11" s="2"/>
    </row>
    <row r="12" spans="3:13" x14ac:dyDescent="0.35">
      <c r="F12" s="2"/>
      <c r="G12" s="9"/>
      <c r="H12" s="2"/>
      <c r="K12" s="2"/>
      <c r="L12" s="9"/>
      <c r="M12" s="2"/>
    </row>
    <row r="13" spans="3:13" x14ac:dyDescent="0.35">
      <c r="F13" s="2"/>
      <c r="G13" s="9"/>
      <c r="H13" s="2"/>
      <c r="K13" s="2"/>
      <c r="L13" s="9"/>
      <c r="M13" s="2"/>
    </row>
    <row r="14" spans="3:13" x14ac:dyDescent="0.35">
      <c r="F14" s="2"/>
      <c r="G14" s="9"/>
      <c r="H14" s="2"/>
      <c r="K14" s="2"/>
      <c r="L14" s="9"/>
      <c r="M14" s="2"/>
    </row>
    <row r="15" spans="3:13" x14ac:dyDescent="0.35">
      <c r="F15" s="2"/>
      <c r="G15" s="9"/>
      <c r="H15" s="2"/>
      <c r="K15" s="2"/>
      <c r="L15" s="9"/>
      <c r="M15" s="2"/>
    </row>
    <row r="16" spans="3:13" x14ac:dyDescent="0.35">
      <c r="F16" s="2"/>
      <c r="G16" s="9"/>
      <c r="H16" s="2"/>
      <c r="K16" s="2"/>
      <c r="L16" s="9"/>
      <c r="M16" s="2"/>
    </row>
    <row r="17" spans="6:13" x14ac:dyDescent="0.35">
      <c r="F17" s="2"/>
      <c r="G17" s="9"/>
      <c r="H17" s="2"/>
      <c r="K17" s="2"/>
      <c r="L17" s="9"/>
      <c r="M17" s="2"/>
    </row>
    <row r="18" spans="6:13" x14ac:dyDescent="0.35">
      <c r="F18" s="2"/>
      <c r="G18" s="9"/>
      <c r="H18" s="2"/>
      <c r="K18" s="2"/>
      <c r="L18" s="9"/>
      <c r="M18" s="2"/>
    </row>
    <row r="19" spans="6:13" x14ac:dyDescent="0.35">
      <c r="F19" s="2"/>
      <c r="G19" s="9"/>
      <c r="H19" s="2"/>
      <c r="K19" s="2"/>
      <c r="L19" s="9"/>
      <c r="M19" s="2"/>
    </row>
    <row r="20" spans="6:13" x14ac:dyDescent="0.35">
      <c r="F20" s="2"/>
      <c r="G20" s="9"/>
      <c r="H20" s="2"/>
      <c r="K20" s="2"/>
      <c r="L20" s="9"/>
      <c r="M20" s="2"/>
    </row>
    <row r="21" spans="6:13" x14ac:dyDescent="0.35">
      <c r="F21" s="2"/>
      <c r="G21" s="9"/>
      <c r="H21" s="2"/>
      <c r="K21" s="2"/>
      <c r="L21" s="9"/>
      <c r="M21" s="2"/>
    </row>
    <row r="22" spans="6:13" x14ac:dyDescent="0.35">
      <c r="F22" s="2"/>
      <c r="G22" s="9"/>
      <c r="H22" s="2"/>
      <c r="K22" s="2"/>
      <c r="L22" s="9"/>
      <c r="M22" s="2"/>
    </row>
    <row r="23" spans="6:13" x14ac:dyDescent="0.35">
      <c r="F23" s="2"/>
      <c r="G23" s="9"/>
      <c r="H23" s="2"/>
      <c r="K23" s="2"/>
      <c r="L23" s="9"/>
      <c r="M23" s="2"/>
    </row>
    <row r="24" spans="6:13" x14ac:dyDescent="0.35">
      <c r="F24" s="2"/>
      <c r="G24" s="9"/>
      <c r="H24" s="2"/>
      <c r="K24" s="2"/>
      <c r="L24" s="9"/>
      <c r="M24" s="2"/>
    </row>
    <row r="25" spans="6:13" x14ac:dyDescent="0.35">
      <c r="F25" s="2"/>
      <c r="G25" s="9"/>
      <c r="H25" s="2"/>
      <c r="K25" s="2"/>
      <c r="L25" s="9"/>
      <c r="M25" s="2"/>
    </row>
    <row r="26" spans="6:13" x14ac:dyDescent="0.35">
      <c r="F26" s="2"/>
      <c r="G26" s="9"/>
      <c r="H26" s="2"/>
      <c r="K26" s="2"/>
      <c r="L26" s="9"/>
      <c r="M26" s="2"/>
    </row>
    <row r="27" spans="6:13" x14ac:dyDescent="0.35">
      <c r="F27" s="2"/>
      <c r="G27" s="9"/>
      <c r="H27" s="2"/>
      <c r="K27" s="2"/>
      <c r="L27" s="9"/>
      <c r="M27" s="2"/>
    </row>
    <row r="28" spans="6:13" x14ac:dyDescent="0.35">
      <c r="F28" s="2"/>
      <c r="G28" s="9"/>
      <c r="H28" s="2"/>
      <c r="K28" s="2"/>
      <c r="L28" s="9"/>
      <c r="M28" s="2"/>
    </row>
    <row r="29" spans="6:13" x14ac:dyDescent="0.35">
      <c r="F29" s="2"/>
      <c r="G29" s="9"/>
      <c r="H29" s="2"/>
      <c r="K29" s="2"/>
      <c r="L29" s="9"/>
      <c r="M29" s="2"/>
    </row>
    <row r="30" spans="6:13" x14ac:dyDescent="0.35">
      <c r="F30" s="2"/>
      <c r="G30" s="9"/>
      <c r="H30" s="2"/>
      <c r="K30" s="2"/>
      <c r="L30" s="9"/>
      <c r="M30" s="2"/>
    </row>
    <row r="31" spans="6:13" x14ac:dyDescent="0.35">
      <c r="F31" s="2"/>
      <c r="G31" s="9"/>
      <c r="H31" s="2"/>
      <c r="K31" s="2"/>
      <c r="L31" s="9"/>
      <c r="M31" s="2"/>
    </row>
    <row r="32" spans="6:13" x14ac:dyDescent="0.35">
      <c r="F32" s="2"/>
      <c r="G32" s="9"/>
      <c r="H32" s="2"/>
      <c r="K32" s="2"/>
      <c r="L32" s="9"/>
      <c r="M32" s="2"/>
    </row>
    <row r="33" spans="6:13" x14ac:dyDescent="0.35">
      <c r="F33" s="2"/>
      <c r="G33" s="9"/>
      <c r="H33" s="2"/>
      <c r="K33" s="2"/>
      <c r="L33" s="9"/>
      <c r="M33" s="2"/>
    </row>
    <row r="34" spans="6:13" x14ac:dyDescent="0.35">
      <c r="F34" s="2"/>
      <c r="G34" s="9"/>
      <c r="H34" s="2"/>
      <c r="K34" s="2"/>
      <c r="L34" s="9"/>
      <c r="M34" s="2"/>
    </row>
    <row r="35" spans="6:13" x14ac:dyDescent="0.35">
      <c r="F35" s="2"/>
      <c r="G35" s="9"/>
      <c r="H35" s="2"/>
      <c r="K35" s="2"/>
      <c r="L35" s="9"/>
      <c r="M35" s="2"/>
    </row>
    <row r="36" spans="6:13" x14ac:dyDescent="0.35">
      <c r="F36" s="2"/>
      <c r="G36" s="9"/>
      <c r="H36" s="2"/>
      <c r="K36" s="2"/>
      <c r="L36" s="9"/>
      <c r="M36" s="2"/>
    </row>
    <row r="37" spans="6:13" x14ac:dyDescent="0.35">
      <c r="F37" s="2"/>
      <c r="G37" s="9"/>
      <c r="H37" s="2"/>
      <c r="K37" s="2"/>
      <c r="L37" s="9"/>
      <c r="M37" s="2"/>
    </row>
    <row r="38" spans="6:13" ht="15" thickBot="1" x14ac:dyDescent="0.4">
      <c r="F38" s="3"/>
      <c r="G38" s="10"/>
      <c r="H38" s="3"/>
      <c r="K38" s="3"/>
      <c r="L38" s="10"/>
      <c r="M38" s="3"/>
    </row>
  </sheetData>
  <mergeCells count="2">
    <mergeCell ref="F4:H4"/>
    <mergeCell ref="K4:M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12F9-7E2B-4B86-8EBD-462FB980EA31}">
  <dimension ref="B1:AF95"/>
  <sheetViews>
    <sheetView tabSelected="1" zoomScale="85" zoomScaleNormal="85" workbookViewId="0">
      <selection activeCell="C12" sqref="C12"/>
    </sheetView>
  </sheetViews>
  <sheetFormatPr defaultRowHeight="14.5" x14ac:dyDescent="0.35"/>
  <cols>
    <col min="2" max="2" width="26.08984375" bestFit="1" customWidth="1"/>
    <col min="3" max="3" width="24.08984375" bestFit="1" customWidth="1"/>
    <col min="5" max="5" width="18.90625" customWidth="1"/>
    <col min="6" max="6" width="12.1796875" bestFit="1" customWidth="1"/>
    <col min="7" max="7" width="35.08984375" bestFit="1" customWidth="1"/>
    <col min="8" max="8" width="24.1796875" bestFit="1" customWidth="1"/>
    <col min="11" max="11" width="20.08984375" bestFit="1" customWidth="1"/>
    <col min="12" max="12" width="7.36328125" bestFit="1" customWidth="1"/>
    <col min="13" max="13" width="16.81640625" bestFit="1" customWidth="1"/>
    <col min="15" max="15" width="12.1796875" bestFit="1" customWidth="1"/>
    <col min="16" max="16" width="15.453125" bestFit="1" customWidth="1"/>
    <col min="17" max="17" width="12.1796875" bestFit="1" customWidth="1"/>
    <col min="18" max="18" width="15.453125" bestFit="1" customWidth="1"/>
    <col min="19" max="19" width="10.36328125" bestFit="1" customWidth="1"/>
    <col min="20" max="20" width="15.453125" bestFit="1" customWidth="1"/>
    <col min="22" max="22" width="12.1796875" bestFit="1" customWidth="1"/>
    <col min="23" max="23" width="26.90625" bestFit="1" customWidth="1"/>
    <col min="24" max="24" width="12.1796875" bestFit="1" customWidth="1"/>
    <col min="25" max="25" width="43.08984375" bestFit="1" customWidth="1"/>
    <col min="27" max="27" width="14.90625" bestFit="1" customWidth="1"/>
    <col min="28" max="28" width="7.36328125" bestFit="1" customWidth="1"/>
    <col min="29" max="29" width="12.1796875" bestFit="1" customWidth="1"/>
    <col min="30" max="30" width="14.81640625" bestFit="1" customWidth="1"/>
    <col min="31" max="31" width="26.1796875" bestFit="1" customWidth="1"/>
    <col min="32" max="32" width="45" bestFit="1" customWidth="1"/>
  </cols>
  <sheetData>
    <row r="1" spans="2:3" ht="15" thickBot="1" x14ac:dyDescent="0.4"/>
    <row r="2" spans="2:3" x14ac:dyDescent="0.35">
      <c r="B2" s="16" t="s">
        <v>9</v>
      </c>
      <c r="C2" s="64" t="s">
        <v>258</v>
      </c>
    </row>
    <row r="3" spans="2:3" ht="116" x14ac:dyDescent="0.35">
      <c r="B3" s="50" t="s">
        <v>10</v>
      </c>
      <c r="C3" s="65" t="s">
        <v>297</v>
      </c>
    </row>
    <row r="4" spans="2:3" x14ac:dyDescent="0.35">
      <c r="B4" s="69" t="s">
        <v>11</v>
      </c>
      <c r="C4" s="68"/>
    </row>
    <row r="5" spans="2:3" x14ac:dyDescent="0.35">
      <c r="B5" s="17" t="s">
        <v>370</v>
      </c>
      <c r="C5" s="66" t="s">
        <v>380</v>
      </c>
    </row>
    <row r="6" spans="2:3" x14ac:dyDescent="0.35">
      <c r="B6" s="17" t="s">
        <v>242</v>
      </c>
      <c r="C6" s="66" t="s">
        <v>416</v>
      </c>
    </row>
    <row r="7" spans="2:3" x14ac:dyDescent="0.35">
      <c r="B7" s="17" t="s">
        <v>243</v>
      </c>
      <c r="C7" s="66" t="s">
        <v>391</v>
      </c>
    </row>
    <row r="8" spans="2:3" x14ac:dyDescent="0.35">
      <c r="B8" s="17" t="s">
        <v>244</v>
      </c>
      <c r="C8" s="66" t="s">
        <v>164</v>
      </c>
    </row>
    <row r="9" spans="2:3" x14ac:dyDescent="0.35">
      <c r="B9" s="17" t="s">
        <v>417</v>
      </c>
      <c r="C9" s="66" t="s">
        <v>419</v>
      </c>
    </row>
    <row r="10" spans="2:3" x14ac:dyDescent="0.35">
      <c r="B10" s="17" t="s">
        <v>371</v>
      </c>
      <c r="C10" s="66" t="s">
        <v>392</v>
      </c>
    </row>
    <row r="11" spans="2:3" x14ac:dyDescent="0.35">
      <c r="B11" s="17" t="s">
        <v>245</v>
      </c>
      <c r="C11" s="66" t="s">
        <v>393</v>
      </c>
    </row>
    <row r="12" spans="2:3" x14ac:dyDescent="0.35">
      <c r="B12" s="17" t="s">
        <v>418</v>
      </c>
      <c r="C12" s="66" t="s">
        <v>420</v>
      </c>
    </row>
    <row r="13" spans="2:3" x14ac:dyDescent="0.35">
      <c r="B13" s="17" t="s">
        <v>246</v>
      </c>
      <c r="C13" s="66" t="s">
        <v>394</v>
      </c>
    </row>
    <row r="14" spans="2:3" ht="15" thickBot="1" x14ac:dyDescent="0.4">
      <c r="B14" s="18" t="s">
        <v>247</v>
      </c>
      <c r="C14" s="67" t="s">
        <v>372</v>
      </c>
    </row>
    <row r="15" spans="2:3" x14ac:dyDescent="0.35">
      <c r="B15" s="123"/>
      <c r="C15" s="124"/>
    </row>
    <row r="16" spans="2:3" x14ac:dyDescent="0.35">
      <c r="B16" s="123"/>
      <c r="C16" s="124"/>
    </row>
    <row r="17" spans="3:32" ht="15" thickBot="1" x14ac:dyDescent="0.4">
      <c r="C17" s="23"/>
    </row>
    <row r="18" spans="3:32" ht="15" thickBot="1" x14ac:dyDescent="0.4">
      <c r="C18" s="23"/>
      <c r="E18" s="92" t="s">
        <v>15</v>
      </c>
      <c r="F18" s="93"/>
      <c r="G18" s="93"/>
      <c r="H18" s="94"/>
      <c r="K18" s="92" t="s">
        <v>16</v>
      </c>
      <c r="L18" s="93"/>
      <c r="M18" s="94"/>
      <c r="O18" s="92" t="s">
        <v>276</v>
      </c>
      <c r="P18" s="93"/>
      <c r="Q18" s="93"/>
      <c r="R18" s="93"/>
      <c r="S18" s="93"/>
      <c r="T18" s="94"/>
      <c r="V18" s="92" t="s">
        <v>287</v>
      </c>
      <c r="W18" s="93"/>
      <c r="X18" s="93"/>
      <c r="Y18" s="94"/>
      <c r="AA18" s="77" t="s">
        <v>298</v>
      </c>
      <c r="AB18" s="78" t="s">
        <v>1</v>
      </c>
      <c r="AC18" s="78" t="s">
        <v>299</v>
      </c>
      <c r="AD18" s="78" t="s">
        <v>300</v>
      </c>
      <c r="AE18" s="91" t="s">
        <v>309</v>
      </c>
      <c r="AF18" s="79" t="s">
        <v>301</v>
      </c>
    </row>
    <row r="19" spans="3:32" ht="15" thickBot="1" x14ac:dyDescent="0.4">
      <c r="C19" s="23"/>
      <c r="E19" s="32" t="s">
        <v>0</v>
      </c>
      <c r="F19" s="33" t="s">
        <v>1</v>
      </c>
      <c r="G19" s="32" t="s">
        <v>2</v>
      </c>
      <c r="H19" s="34" t="s">
        <v>264</v>
      </c>
      <c r="K19" s="14" t="s">
        <v>0</v>
      </c>
      <c r="L19" s="12" t="s">
        <v>1</v>
      </c>
      <c r="M19" s="14" t="s">
        <v>24</v>
      </c>
      <c r="O19" s="117" t="s">
        <v>277</v>
      </c>
      <c r="P19" s="118"/>
      <c r="Q19" s="115" t="s">
        <v>278</v>
      </c>
      <c r="R19" s="116"/>
      <c r="S19" s="115" t="s">
        <v>284</v>
      </c>
      <c r="T19" s="116"/>
      <c r="V19" s="117" t="s">
        <v>265</v>
      </c>
      <c r="W19" s="118"/>
      <c r="X19" s="117" t="s">
        <v>286</v>
      </c>
      <c r="Y19" s="119"/>
      <c r="AA19" s="81" t="s">
        <v>317</v>
      </c>
      <c r="AB19" s="89">
        <v>1</v>
      </c>
      <c r="AC19" s="89">
        <v>0.2</v>
      </c>
      <c r="AD19" s="82" t="s">
        <v>316</v>
      </c>
      <c r="AE19" s="82" t="s">
        <v>318</v>
      </c>
      <c r="AF19" s="83" t="s">
        <v>176</v>
      </c>
    </row>
    <row r="20" spans="3:32" ht="15" thickBot="1" x14ac:dyDescent="0.4">
      <c r="C20" s="23"/>
      <c r="E20" s="4" t="s">
        <v>18</v>
      </c>
      <c r="F20" s="8">
        <v>348.18</v>
      </c>
      <c r="G20" s="5" t="s">
        <v>195</v>
      </c>
      <c r="H20" s="19"/>
      <c r="K20" s="38" t="s">
        <v>87</v>
      </c>
      <c r="L20" s="8">
        <v>741</v>
      </c>
      <c r="M20" s="4" t="s">
        <v>25</v>
      </c>
      <c r="O20" s="14" t="s">
        <v>1</v>
      </c>
      <c r="P20" s="14" t="s">
        <v>24</v>
      </c>
      <c r="Q20" s="14" t="s">
        <v>1</v>
      </c>
      <c r="R20" s="14" t="s">
        <v>24</v>
      </c>
      <c r="S20" s="14" t="s">
        <v>1</v>
      </c>
      <c r="T20" s="14" t="s">
        <v>24</v>
      </c>
      <c r="V20" s="14" t="s">
        <v>1</v>
      </c>
      <c r="W20" s="14" t="s">
        <v>24</v>
      </c>
      <c r="X20" s="14" t="s">
        <v>1</v>
      </c>
      <c r="Y20" s="14" t="s">
        <v>24</v>
      </c>
      <c r="AA20" s="84" t="s">
        <v>317</v>
      </c>
      <c r="AB20" s="90">
        <v>1</v>
      </c>
      <c r="AC20" s="90">
        <v>0.2</v>
      </c>
      <c r="AD20" s="80" t="s">
        <v>305</v>
      </c>
      <c r="AE20" s="80" t="s">
        <v>104</v>
      </c>
      <c r="AF20" s="85" t="s">
        <v>325</v>
      </c>
    </row>
    <row r="21" spans="3:32" x14ac:dyDescent="0.35">
      <c r="C21" s="23"/>
      <c r="E21" s="2" t="s">
        <v>5</v>
      </c>
      <c r="F21" s="9">
        <f>186.2622+5.25</f>
        <v>191.51220000000001</v>
      </c>
      <c r="G21" s="5" t="s">
        <v>173</v>
      </c>
      <c r="H21" s="2"/>
      <c r="K21" s="38" t="s">
        <v>103</v>
      </c>
      <c r="L21" s="9">
        <v>101.07</v>
      </c>
      <c r="M21" s="4" t="s">
        <v>25</v>
      </c>
      <c r="O21" s="38">
        <f>127+23/40</f>
        <v>127.575</v>
      </c>
      <c r="P21" s="4" t="s">
        <v>73</v>
      </c>
      <c r="Q21" s="4">
        <f>151+157/225</f>
        <v>151.69777777777779</v>
      </c>
      <c r="R21" s="4" t="s">
        <v>73</v>
      </c>
      <c r="S21" s="4">
        <v>240</v>
      </c>
      <c r="T21" s="4" t="s">
        <v>53</v>
      </c>
      <c r="V21" s="44">
        <v>170.1</v>
      </c>
      <c r="W21" s="19" t="s">
        <v>288</v>
      </c>
      <c r="X21" s="44">
        <f>158+22/75</f>
        <v>158.29333333333332</v>
      </c>
      <c r="Y21" s="19" t="s">
        <v>289</v>
      </c>
      <c r="AA21" s="84" t="s">
        <v>326</v>
      </c>
      <c r="AB21" s="90">
        <v>1</v>
      </c>
      <c r="AC21" s="90">
        <v>0.2</v>
      </c>
      <c r="AD21" s="80" t="s">
        <v>305</v>
      </c>
      <c r="AE21" s="80" t="s">
        <v>329</v>
      </c>
      <c r="AF21" s="85" t="s">
        <v>328</v>
      </c>
    </row>
    <row r="22" spans="3:32" x14ac:dyDescent="0.35">
      <c r="C22" s="23"/>
      <c r="E22" s="2" t="s">
        <v>103</v>
      </c>
      <c r="F22" s="9">
        <f>79+19/50+23+19/255</f>
        <v>102.45450980392157</v>
      </c>
      <c r="G22" s="5" t="s">
        <v>106</v>
      </c>
      <c r="H22" s="2"/>
      <c r="K22" s="38" t="s">
        <v>373</v>
      </c>
      <c r="L22" s="9">
        <v>11.52</v>
      </c>
      <c r="M22" s="4" t="s">
        <v>8</v>
      </c>
      <c r="O22" s="11">
        <f>125+29/50</f>
        <v>125.58</v>
      </c>
      <c r="P22" s="2" t="s">
        <v>279</v>
      </c>
      <c r="Q22" s="2">
        <f>148+2/5</f>
        <v>148.4</v>
      </c>
      <c r="R22" s="2" t="s">
        <v>73</v>
      </c>
      <c r="S22" s="2">
        <v>160</v>
      </c>
      <c r="T22" s="2" t="s">
        <v>43</v>
      </c>
      <c r="V22" s="11">
        <f>43+131/135</f>
        <v>43.970370370370368</v>
      </c>
      <c r="W22" s="2" t="s">
        <v>290</v>
      </c>
      <c r="X22" s="11"/>
      <c r="Y22" s="2"/>
      <c r="AA22" s="84" t="s">
        <v>326</v>
      </c>
      <c r="AB22" s="90">
        <v>1</v>
      </c>
      <c r="AC22" s="90">
        <v>0.3</v>
      </c>
      <c r="AD22" s="80" t="s">
        <v>305</v>
      </c>
      <c r="AE22" s="80" t="s">
        <v>327</v>
      </c>
      <c r="AF22" s="85" t="s">
        <v>328</v>
      </c>
    </row>
    <row r="23" spans="3:32" x14ac:dyDescent="0.35">
      <c r="C23" s="23"/>
      <c r="E23" s="2" t="s">
        <v>86</v>
      </c>
      <c r="F23" s="9">
        <v>146.3777</v>
      </c>
      <c r="G23" s="6" t="s">
        <v>85</v>
      </c>
      <c r="H23" s="2"/>
      <c r="K23" s="38" t="s">
        <v>333</v>
      </c>
      <c r="L23" s="9">
        <v>10</v>
      </c>
      <c r="M23" s="4" t="s">
        <v>8</v>
      </c>
      <c r="O23" s="11">
        <v>2.73</v>
      </c>
      <c r="P23" s="2" t="s">
        <v>280</v>
      </c>
      <c r="Q23" s="2">
        <v>226.8</v>
      </c>
      <c r="R23" s="2" t="s">
        <v>285</v>
      </c>
      <c r="S23" s="2"/>
      <c r="T23" s="2"/>
      <c r="V23" s="11"/>
      <c r="W23" s="2"/>
      <c r="X23" s="11"/>
      <c r="Y23" s="2"/>
      <c r="AA23" s="84" t="s">
        <v>317</v>
      </c>
      <c r="AB23" s="90">
        <v>1</v>
      </c>
      <c r="AC23" s="90">
        <v>0.3</v>
      </c>
      <c r="AD23" s="80" t="s">
        <v>351</v>
      </c>
      <c r="AE23" s="80" t="s">
        <v>356</v>
      </c>
      <c r="AF23" s="85" t="s">
        <v>325</v>
      </c>
    </row>
    <row r="24" spans="3:32" x14ac:dyDescent="0.35">
      <c r="C24" s="23"/>
      <c r="E24" s="2" t="s">
        <v>61</v>
      </c>
      <c r="F24" s="9">
        <v>153.09</v>
      </c>
      <c r="G24" s="6" t="s">
        <v>195</v>
      </c>
      <c r="H24" s="2"/>
      <c r="K24" s="38" t="s">
        <v>354</v>
      </c>
      <c r="L24" s="9">
        <v>5</v>
      </c>
      <c r="M24" s="4" t="s">
        <v>8</v>
      </c>
      <c r="O24" s="11">
        <f>116+92/1125</f>
        <v>116.08177777777777</v>
      </c>
      <c r="P24" s="2" t="s">
        <v>43</v>
      </c>
      <c r="Q24" s="2"/>
      <c r="R24" s="2"/>
      <c r="S24" s="2"/>
      <c r="T24" s="2"/>
      <c r="V24" s="11"/>
      <c r="W24" s="2"/>
      <c r="X24" s="11"/>
      <c r="Y24" s="2"/>
      <c r="AA24" s="84" t="s">
        <v>326</v>
      </c>
      <c r="AB24" s="90">
        <v>1</v>
      </c>
      <c r="AC24" s="90">
        <v>0.4</v>
      </c>
      <c r="AD24" s="80" t="s">
        <v>351</v>
      </c>
      <c r="AE24" s="80" t="s">
        <v>354</v>
      </c>
      <c r="AF24" s="85" t="s">
        <v>328</v>
      </c>
    </row>
    <row r="25" spans="3:32" x14ac:dyDescent="0.35">
      <c r="C25" s="23"/>
      <c r="E25" s="2" t="s">
        <v>54</v>
      </c>
      <c r="F25" s="9">
        <f>V21+V22</f>
        <v>214.07037037037037</v>
      </c>
      <c r="G25" s="6" t="s">
        <v>55</v>
      </c>
      <c r="H25" s="2" t="s">
        <v>267</v>
      </c>
      <c r="K25" s="38" t="s">
        <v>374</v>
      </c>
      <c r="L25" s="9">
        <v>4.95</v>
      </c>
      <c r="M25" s="4" t="s">
        <v>25</v>
      </c>
      <c r="O25" s="11">
        <f>72+124/225</f>
        <v>72.551111111111112</v>
      </c>
      <c r="P25" s="2" t="s">
        <v>281</v>
      </c>
      <c r="Q25" s="2"/>
      <c r="R25" s="2"/>
      <c r="S25" s="2"/>
      <c r="T25" s="2"/>
      <c r="V25" s="11"/>
      <c r="W25" s="2"/>
      <c r="X25" s="11"/>
      <c r="Y25" s="2"/>
      <c r="AA25" s="84" t="s">
        <v>323</v>
      </c>
      <c r="AB25" s="90">
        <v>1</v>
      </c>
      <c r="AC25" s="90">
        <v>0.6</v>
      </c>
      <c r="AD25" s="80" t="s">
        <v>305</v>
      </c>
      <c r="AE25" s="80" t="s">
        <v>279</v>
      </c>
      <c r="AF25" s="85" t="s">
        <v>324</v>
      </c>
    </row>
    <row r="26" spans="3:32" x14ac:dyDescent="0.35">
      <c r="C26" s="23"/>
      <c r="E26" s="2" t="s">
        <v>43</v>
      </c>
      <c r="F26" s="9">
        <f>226.8+29+71/72</f>
        <v>256.7861111111111</v>
      </c>
      <c r="G26" s="6" t="s">
        <v>44</v>
      </c>
      <c r="H26" s="2"/>
      <c r="K26" s="38" t="s">
        <v>355</v>
      </c>
      <c r="L26" s="9">
        <v>4.2</v>
      </c>
      <c r="M26" s="4" t="s">
        <v>8</v>
      </c>
      <c r="O26" s="2"/>
      <c r="P26" s="2"/>
      <c r="Q26" s="2"/>
      <c r="R26" s="2"/>
      <c r="S26" s="2"/>
      <c r="T26" s="2"/>
      <c r="V26" s="2"/>
      <c r="W26" s="2"/>
      <c r="X26" s="11"/>
      <c r="Y26" s="2"/>
      <c r="AA26" s="84" t="s">
        <v>326</v>
      </c>
      <c r="AB26" s="90">
        <v>1</v>
      </c>
      <c r="AC26" s="90">
        <v>0.7</v>
      </c>
      <c r="AD26" s="80" t="s">
        <v>351</v>
      </c>
      <c r="AE26" s="80" t="s">
        <v>355</v>
      </c>
      <c r="AF26" s="85" t="s">
        <v>328</v>
      </c>
    </row>
    <row r="27" spans="3:32" ht="15" thickBot="1" x14ac:dyDescent="0.4">
      <c r="C27" s="23"/>
      <c r="E27" s="2" t="s">
        <v>41</v>
      </c>
      <c r="F27" s="9">
        <f>628+1243/3645</f>
        <v>628.34101508916319</v>
      </c>
      <c r="G27" s="6" t="s">
        <v>42</v>
      </c>
      <c r="H27" s="2"/>
      <c r="K27" s="11" t="s">
        <v>329</v>
      </c>
      <c r="L27" s="9">
        <v>2.73</v>
      </c>
      <c r="M27" s="4" t="s">
        <v>8</v>
      </c>
      <c r="O27" s="2"/>
      <c r="P27" s="2"/>
      <c r="Q27" s="2"/>
      <c r="R27" s="2"/>
      <c r="S27" s="2"/>
      <c r="T27" s="2"/>
      <c r="V27" s="72"/>
      <c r="W27" s="72"/>
      <c r="X27" s="74"/>
      <c r="Y27" s="72"/>
      <c r="AA27" s="84" t="s">
        <v>304</v>
      </c>
      <c r="AB27" s="90">
        <v>1</v>
      </c>
      <c r="AC27" s="90">
        <v>1</v>
      </c>
      <c r="AD27" s="80" t="s">
        <v>316</v>
      </c>
      <c r="AE27" s="80" t="s">
        <v>176</v>
      </c>
      <c r="AF27" s="85" t="s">
        <v>314</v>
      </c>
    </row>
    <row r="28" spans="3:32" ht="15" thickBot="1" x14ac:dyDescent="0.4">
      <c r="C28" s="23"/>
      <c r="E28" s="2" t="s">
        <v>269</v>
      </c>
      <c r="F28" s="9">
        <f>174+46/375</f>
        <v>174.12266666666667</v>
      </c>
      <c r="G28" s="6" t="s">
        <v>270</v>
      </c>
      <c r="H28" s="2"/>
      <c r="K28" s="11" t="s">
        <v>327</v>
      </c>
      <c r="L28" s="9">
        <v>2.73</v>
      </c>
      <c r="M28" s="4" t="s">
        <v>8</v>
      </c>
      <c r="O28" s="72"/>
      <c r="P28" s="72"/>
      <c r="Q28" s="72"/>
      <c r="R28" s="72"/>
      <c r="S28" s="72"/>
      <c r="T28" s="72"/>
      <c r="V28" s="34" t="s">
        <v>282</v>
      </c>
      <c r="W28" s="76">
        <f>SUM(V21:V22)</f>
        <v>214.07037037037037</v>
      </c>
      <c r="X28" s="75" t="s">
        <v>282</v>
      </c>
      <c r="Y28" s="76">
        <f>SUM(X21:X27)</f>
        <v>158.29333333333332</v>
      </c>
      <c r="AA28" s="84" t="s">
        <v>308</v>
      </c>
      <c r="AB28" s="90">
        <v>1</v>
      </c>
      <c r="AC28" s="90">
        <v>1.2</v>
      </c>
      <c r="AD28" s="80" t="s">
        <v>305</v>
      </c>
      <c r="AE28" s="80" t="s">
        <v>53</v>
      </c>
      <c r="AF28" s="85" t="s">
        <v>70</v>
      </c>
    </row>
    <row r="29" spans="3:32" ht="15" thickBot="1" x14ac:dyDescent="0.4">
      <c r="C29" s="23"/>
      <c r="E29" s="2" t="s">
        <v>87</v>
      </c>
      <c r="F29" s="9">
        <f>72+124/225</f>
        <v>72.551111111111112</v>
      </c>
      <c r="G29" s="6" t="s">
        <v>131</v>
      </c>
      <c r="H29" s="2"/>
      <c r="K29" s="11" t="s">
        <v>334</v>
      </c>
      <c r="L29" s="9">
        <v>1.54</v>
      </c>
      <c r="M29" s="4" t="s">
        <v>8</v>
      </c>
      <c r="O29" s="16" t="s">
        <v>282</v>
      </c>
      <c r="P29" s="73">
        <f>SUM(O21:O28)</f>
        <v>444.51788888888893</v>
      </c>
      <c r="Q29" s="16" t="s">
        <v>282</v>
      </c>
      <c r="R29" s="73">
        <f>SUM(Q21:Q28)</f>
        <v>526.89777777777772</v>
      </c>
      <c r="S29" s="16" t="s">
        <v>282</v>
      </c>
      <c r="T29" s="73">
        <f>SUM(S21:S28)</f>
        <v>400</v>
      </c>
      <c r="V29" s="48" t="s">
        <v>291</v>
      </c>
      <c r="W29" s="112">
        <f>W28+Y28</f>
        <v>372.36370370370366</v>
      </c>
      <c r="X29" s="113"/>
      <c r="Y29" s="114"/>
      <c r="AA29" s="84" t="s">
        <v>304</v>
      </c>
      <c r="AB29" s="90">
        <v>1</v>
      </c>
      <c r="AC29" s="90">
        <v>1.6</v>
      </c>
      <c r="AD29" s="80" t="s">
        <v>305</v>
      </c>
      <c r="AE29" s="80" t="s">
        <v>312</v>
      </c>
      <c r="AF29" s="85" t="s">
        <v>314</v>
      </c>
    </row>
    <row r="30" spans="3:32" ht="15" thickBot="1" x14ac:dyDescent="0.4">
      <c r="C30" s="23"/>
      <c r="E30" s="70" t="s">
        <v>137</v>
      </c>
      <c r="F30" s="38">
        <f>734+32/45</f>
        <v>734.71111111111111</v>
      </c>
      <c r="G30" s="4" t="s">
        <v>191</v>
      </c>
      <c r="H30" s="2"/>
      <c r="K30" s="11" t="s">
        <v>357</v>
      </c>
      <c r="L30" s="9">
        <v>1</v>
      </c>
      <c r="M30" s="4" t="s">
        <v>8</v>
      </c>
      <c r="O30" s="18" t="s">
        <v>283</v>
      </c>
      <c r="P30" s="71">
        <f>P29/600</f>
        <v>0.74086314814814824</v>
      </c>
      <c r="Q30" s="18" t="s">
        <v>283</v>
      </c>
      <c r="R30" s="71">
        <f>R29/600</f>
        <v>0.87816296296296281</v>
      </c>
      <c r="S30" s="18" t="s">
        <v>283</v>
      </c>
      <c r="T30" s="71">
        <f>T29/600</f>
        <v>0.66666666666666663</v>
      </c>
      <c r="AA30" s="84" t="s">
        <v>322</v>
      </c>
      <c r="AB30" s="90">
        <v>2</v>
      </c>
      <c r="AC30" s="90">
        <v>2.7</v>
      </c>
      <c r="AD30" s="80" t="s">
        <v>341</v>
      </c>
      <c r="AE30" s="80" t="s">
        <v>343</v>
      </c>
      <c r="AF30" s="85" t="s">
        <v>342</v>
      </c>
    </row>
    <row r="31" spans="3:32" x14ac:dyDescent="0.35">
      <c r="C31" s="23"/>
      <c r="E31" s="2" t="s">
        <v>52</v>
      </c>
      <c r="F31" s="9">
        <f>479+73/600</f>
        <v>479.12166666666667</v>
      </c>
      <c r="G31" s="6" t="s">
        <v>21</v>
      </c>
      <c r="H31" s="2"/>
      <c r="K31" s="11" t="s">
        <v>314</v>
      </c>
      <c r="L31" s="9">
        <v>0.25</v>
      </c>
      <c r="M31" s="4" t="s">
        <v>8</v>
      </c>
      <c r="AA31" s="84" t="s">
        <v>322</v>
      </c>
      <c r="AB31" s="90">
        <v>4</v>
      </c>
      <c r="AC31" s="90">
        <v>2.8</v>
      </c>
      <c r="AD31" s="80" t="s">
        <v>305</v>
      </c>
      <c r="AE31" s="80" t="s">
        <v>72</v>
      </c>
      <c r="AF31" s="85" t="s">
        <v>67</v>
      </c>
    </row>
    <row r="32" spans="3:32" x14ac:dyDescent="0.35">
      <c r="C32" s="23"/>
      <c r="E32" s="2" t="s">
        <v>179</v>
      </c>
      <c r="F32" s="9">
        <v>2.5</v>
      </c>
      <c r="G32" s="6" t="s">
        <v>173</v>
      </c>
      <c r="H32" s="2"/>
      <c r="K32" s="11" t="s">
        <v>364</v>
      </c>
      <c r="L32" s="9">
        <v>0.21</v>
      </c>
      <c r="M32" s="4" t="s">
        <v>8</v>
      </c>
      <c r="AA32" s="84" t="s">
        <v>322</v>
      </c>
      <c r="AB32" s="90">
        <v>12</v>
      </c>
      <c r="AC32" s="90">
        <v>3.2</v>
      </c>
      <c r="AD32" s="80" t="s">
        <v>305</v>
      </c>
      <c r="AE32" s="80" t="s">
        <v>76</v>
      </c>
      <c r="AF32" s="85" t="s">
        <v>67</v>
      </c>
    </row>
    <row r="33" spans="3:32" x14ac:dyDescent="0.35">
      <c r="C33" s="23"/>
      <c r="E33" s="2" t="s">
        <v>180</v>
      </c>
      <c r="F33" s="9">
        <v>2.5</v>
      </c>
      <c r="G33" s="6" t="s">
        <v>173</v>
      </c>
      <c r="H33" s="2"/>
      <c r="K33" s="11"/>
      <c r="L33" s="9"/>
      <c r="M33" s="4"/>
      <c r="AA33" s="84" t="s">
        <v>322</v>
      </c>
      <c r="AB33" s="90">
        <v>3</v>
      </c>
      <c r="AC33" s="90">
        <v>3.3</v>
      </c>
      <c r="AD33" s="80" t="s">
        <v>341</v>
      </c>
      <c r="AE33" s="80" t="s">
        <v>76</v>
      </c>
      <c r="AF33" s="85" t="s">
        <v>342</v>
      </c>
    </row>
    <row r="34" spans="3:32" x14ac:dyDescent="0.35">
      <c r="C34" s="23"/>
      <c r="E34" s="2" t="s">
        <v>61</v>
      </c>
      <c r="F34" s="9">
        <v>1360.11733</v>
      </c>
      <c r="G34" s="6" t="s">
        <v>60</v>
      </c>
      <c r="H34" s="2"/>
      <c r="K34" s="11"/>
      <c r="L34" s="9"/>
      <c r="M34" s="4"/>
      <c r="AA34" s="84" t="s">
        <v>317</v>
      </c>
      <c r="AB34" s="90">
        <v>14</v>
      </c>
      <c r="AC34" s="90">
        <v>3.4</v>
      </c>
      <c r="AD34" s="80" t="s">
        <v>305</v>
      </c>
      <c r="AE34" s="80" t="s">
        <v>70</v>
      </c>
      <c r="AF34" s="85" t="s">
        <v>312</v>
      </c>
    </row>
    <row r="35" spans="3:32" x14ac:dyDescent="0.35">
      <c r="C35" s="23"/>
      <c r="E35" s="2" t="s">
        <v>54</v>
      </c>
      <c r="F35" s="9">
        <f>X21</f>
        <v>158.29333333333332</v>
      </c>
      <c r="G35" s="6" t="s">
        <v>55</v>
      </c>
      <c r="H35" s="2" t="s">
        <v>292</v>
      </c>
      <c r="K35" s="11"/>
      <c r="L35" s="9"/>
      <c r="M35" s="4"/>
      <c r="AA35" s="84" t="s">
        <v>322</v>
      </c>
      <c r="AB35" s="90">
        <v>16</v>
      </c>
      <c r="AC35" s="90">
        <v>3.7</v>
      </c>
      <c r="AD35" s="80" t="s">
        <v>316</v>
      </c>
      <c r="AE35" s="80" t="s">
        <v>76</v>
      </c>
      <c r="AF35" s="85" t="s">
        <v>69</v>
      </c>
    </row>
    <row r="36" spans="3:32" x14ac:dyDescent="0.35">
      <c r="C36" s="23"/>
      <c r="E36" s="2" t="s">
        <v>295</v>
      </c>
      <c r="F36" s="9">
        <v>480</v>
      </c>
      <c r="G36" s="6" t="s">
        <v>296</v>
      </c>
      <c r="H36" s="2"/>
      <c r="K36" s="11"/>
      <c r="L36" s="9"/>
      <c r="M36" s="4"/>
      <c r="AA36" s="84" t="s">
        <v>322</v>
      </c>
      <c r="AB36" s="90">
        <v>4</v>
      </c>
      <c r="AC36" s="90">
        <v>3.7</v>
      </c>
      <c r="AD36" s="80" t="s">
        <v>351</v>
      </c>
      <c r="AE36" s="80" t="s">
        <v>343</v>
      </c>
      <c r="AF36" s="85" t="s">
        <v>285</v>
      </c>
    </row>
    <row r="37" spans="3:32" x14ac:dyDescent="0.35">
      <c r="C37" s="23"/>
      <c r="E37" s="2" t="s">
        <v>269</v>
      </c>
      <c r="F37" s="9">
        <v>240</v>
      </c>
      <c r="G37" s="6" t="s">
        <v>21</v>
      </c>
      <c r="H37" s="2"/>
      <c r="K37" s="11"/>
      <c r="L37" s="9"/>
      <c r="M37" s="4"/>
      <c r="AA37" s="84" t="s">
        <v>304</v>
      </c>
      <c r="AB37" s="90">
        <v>1</v>
      </c>
      <c r="AC37" s="90">
        <v>4.5999999999999996</v>
      </c>
      <c r="AD37" s="80" t="s">
        <v>305</v>
      </c>
      <c r="AE37" s="80" t="s">
        <v>312</v>
      </c>
      <c r="AF37" s="85" t="s">
        <v>313</v>
      </c>
    </row>
    <row r="38" spans="3:32" x14ac:dyDescent="0.35">
      <c r="C38" s="23"/>
      <c r="E38" s="2" t="s">
        <v>19</v>
      </c>
      <c r="F38" s="9">
        <f>14727+1247/3000</f>
        <v>14727.415666666666</v>
      </c>
      <c r="G38" s="6" t="s">
        <v>62</v>
      </c>
      <c r="H38" s="2"/>
      <c r="K38" s="11"/>
      <c r="L38" s="9"/>
      <c r="M38" s="2"/>
      <c r="AA38" s="84" t="s">
        <v>304</v>
      </c>
      <c r="AB38" s="90">
        <v>8</v>
      </c>
      <c r="AC38" s="90">
        <v>10.6</v>
      </c>
      <c r="AD38" s="80" t="s">
        <v>305</v>
      </c>
      <c r="AE38" s="80" t="s">
        <v>312</v>
      </c>
      <c r="AF38" s="85" t="s">
        <v>331</v>
      </c>
    </row>
    <row r="39" spans="3:32" x14ac:dyDescent="0.35">
      <c r="C39" s="23"/>
      <c r="E39" s="2" t="s">
        <v>369</v>
      </c>
      <c r="F39" s="9">
        <f>1050+13/15</f>
        <v>1050.8666666666666</v>
      </c>
      <c r="G39" s="6" t="s">
        <v>375</v>
      </c>
      <c r="H39" s="2"/>
      <c r="K39" s="11"/>
      <c r="L39" s="9"/>
      <c r="M39" s="2"/>
      <c r="AA39" s="84" t="s">
        <v>304</v>
      </c>
      <c r="AB39" s="90">
        <v>1</v>
      </c>
      <c r="AC39" s="90">
        <v>11.2</v>
      </c>
      <c r="AD39" s="80" t="s">
        <v>305</v>
      </c>
      <c r="AE39" s="80" t="s">
        <v>70</v>
      </c>
      <c r="AF39" s="85" t="s">
        <v>311</v>
      </c>
    </row>
    <row r="40" spans="3:32" x14ac:dyDescent="0.35">
      <c r="C40" s="23"/>
      <c r="E40" s="2" t="s">
        <v>20</v>
      </c>
      <c r="F40" s="9">
        <v>300</v>
      </c>
      <c r="G40" s="6" t="s">
        <v>377</v>
      </c>
      <c r="H40" s="2"/>
      <c r="K40" s="11"/>
      <c r="L40" s="9"/>
      <c r="M40" s="2"/>
      <c r="AA40" s="84" t="s">
        <v>304</v>
      </c>
      <c r="AB40" s="90">
        <v>6</v>
      </c>
      <c r="AC40" s="90">
        <v>11.3</v>
      </c>
      <c r="AD40" s="80" t="s">
        <v>305</v>
      </c>
      <c r="AE40" s="80" t="s">
        <v>310</v>
      </c>
      <c r="AF40" s="85" t="s">
        <v>306</v>
      </c>
    </row>
    <row r="41" spans="3:32" x14ac:dyDescent="0.35">
      <c r="C41" s="23"/>
      <c r="E41" s="2" t="s">
        <v>378</v>
      </c>
      <c r="F41" s="9">
        <v>6.34</v>
      </c>
      <c r="G41" s="6" t="s">
        <v>162</v>
      </c>
      <c r="H41" s="2"/>
      <c r="K41" s="11"/>
      <c r="L41" s="9"/>
      <c r="M41" s="2"/>
      <c r="AA41" s="84" t="s">
        <v>304</v>
      </c>
      <c r="AB41" s="90">
        <v>5</v>
      </c>
      <c r="AC41" s="90">
        <v>11.6</v>
      </c>
      <c r="AD41" s="80" t="s">
        <v>341</v>
      </c>
      <c r="AE41" s="80" t="s">
        <v>348</v>
      </c>
      <c r="AF41" s="85" t="s">
        <v>346</v>
      </c>
    </row>
    <row r="42" spans="3:32" x14ac:dyDescent="0.35">
      <c r="E42" s="2" t="s">
        <v>88</v>
      </c>
      <c r="F42" s="9">
        <v>600</v>
      </c>
      <c r="G42" s="6" t="s">
        <v>21</v>
      </c>
      <c r="H42" s="2"/>
      <c r="K42" s="11"/>
      <c r="L42" s="9"/>
      <c r="M42" s="2"/>
      <c r="AA42" s="84" t="s">
        <v>304</v>
      </c>
      <c r="AB42" s="90">
        <v>12</v>
      </c>
      <c r="AC42" s="90">
        <v>11.6</v>
      </c>
      <c r="AD42" s="80" t="s">
        <v>361</v>
      </c>
      <c r="AE42" s="80" t="s">
        <v>352</v>
      </c>
      <c r="AF42" s="85" t="s">
        <v>328</v>
      </c>
    </row>
    <row r="43" spans="3:32" x14ac:dyDescent="0.35">
      <c r="E43" s="2"/>
      <c r="F43" s="9"/>
      <c r="G43" s="6"/>
      <c r="H43" s="2"/>
      <c r="K43" s="11"/>
      <c r="L43" s="9"/>
      <c r="M43" s="2"/>
      <c r="AA43" s="84" t="s">
        <v>321</v>
      </c>
      <c r="AB43" s="90">
        <v>4</v>
      </c>
      <c r="AC43" s="90">
        <v>11.7</v>
      </c>
      <c r="AD43" s="80" t="s">
        <v>341</v>
      </c>
      <c r="AE43" s="80" t="s">
        <v>72</v>
      </c>
      <c r="AF43" s="85" t="s">
        <v>345</v>
      </c>
    </row>
    <row r="44" spans="3:32" x14ac:dyDescent="0.35">
      <c r="E44" s="2"/>
      <c r="F44" s="9"/>
      <c r="G44" s="6"/>
      <c r="H44" s="2"/>
      <c r="K44" s="11"/>
      <c r="L44" s="9"/>
      <c r="M44" s="2"/>
      <c r="AA44" s="84" t="s">
        <v>304</v>
      </c>
      <c r="AB44" s="90">
        <v>4</v>
      </c>
      <c r="AC44" s="90">
        <v>12.7</v>
      </c>
      <c r="AD44" s="80" t="s">
        <v>305</v>
      </c>
      <c r="AE44" s="80" t="s">
        <v>102</v>
      </c>
      <c r="AF44" s="85" t="s">
        <v>156</v>
      </c>
    </row>
    <row r="45" spans="3:32" x14ac:dyDescent="0.35">
      <c r="E45" s="2"/>
      <c r="F45" s="9"/>
      <c r="G45" s="6"/>
      <c r="H45" s="2"/>
      <c r="K45" s="11"/>
      <c r="L45" s="9"/>
      <c r="M45" s="2"/>
      <c r="AA45" s="84" t="s">
        <v>304</v>
      </c>
      <c r="AB45" s="90">
        <v>12</v>
      </c>
      <c r="AC45" s="90">
        <v>12.7</v>
      </c>
      <c r="AD45" s="80" t="s">
        <v>316</v>
      </c>
      <c r="AE45" s="80" t="s">
        <v>69</v>
      </c>
      <c r="AF45" s="85" t="s">
        <v>232</v>
      </c>
    </row>
    <row r="46" spans="3:32" x14ac:dyDescent="0.35">
      <c r="E46" s="2"/>
      <c r="F46" s="9"/>
      <c r="G46" s="6"/>
      <c r="H46" s="2"/>
      <c r="K46" s="11"/>
      <c r="L46" s="9"/>
      <c r="M46" s="2"/>
      <c r="AA46" s="84" t="s">
        <v>304</v>
      </c>
      <c r="AB46" s="90">
        <v>5</v>
      </c>
      <c r="AC46" s="90">
        <v>12.7</v>
      </c>
      <c r="AD46" s="80" t="s">
        <v>341</v>
      </c>
      <c r="AE46" s="80" t="s">
        <v>64</v>
      </c>
      <c r="AF46" s="85" t="s">
        <v>346</v>
      </c>
    </row>
    <row r="47" spans="3:32" x14ac:dyDescent="0.35">
      <c r="E47" s="2"/>
      <c r="F47" s="9"/>
      <c r="G47" s="6"/>
      <c r="H47" s="2"/>
      <c r="K47" s="11"/>
      <c r="L47" s="9"/>
      <c r="M47" s="2"/>
      <c r="AA47" s="84" t="s">
        <v>321</v>
      </c>
      <c r="AB47" s="90">
        <v>4</v>
      </c>
      <c r="AC47" s="90">
        <v>12.9</v>
      </c>
      <c r="AD47" s="80" t="s">
        <v>316</v>
      </c>
      <c r="AE47" s="80" t="s">
        <v>72</v>
      </c>
      <c r="AF47" s="85" t="s">
        <v>69</v>
      </c>
    </row>
    <row r="48" spans="3:32" x14ac:dyDescent="0.35">
      <c r="E48" s="2"/>
      <c r="F48" s="9"/>
      <c r="G48" s="6"/>
      <c r="H48" s="2"/>
      <c r="K48" s="11"/>
      <c r="L48" s="9"/>
      <c r="M48" s="2"/>
      <c r="AA48" s="84" t="s">
        <v>344</v>
      </c>
      <c r="AB48" s="90">
        <v>1</v>
      </c>
      <c r="AC48" s="90">
        <v>13.5</v>
      </c>
      <c r="AD48" s="80" t="s">
        <v>341</v>
      </c>
      <c r="AE48" s="80" t="s">
        <v>72</v>
      </c>
      <c r="AF48" s="85" t="s">
        <v>64</v>
      </c>
    </row>
    <row r="49" spans="5:32" x14ac:dyDescent="0.35">
      <c r="E49" s="2"/>
      <c r="F49" s="9"/>
      <c r="G49" s="6"/>
      <c r="H49" s="2"/>
      <c r="K49" s="2"/>
      <c r="L49" s="9"/>
      <c r="M49" s="2"/>
      <c r="AA49" s="84" t="s">
        <v>304</v>
      </c>
      <c r="AB49" s="90">
        <v>10</v>
      </c>
      <c r="AC49" s="90">
        <v>13.9</v>
      </c>
      <c r="AD49" s="80" t="s">
        <v>316</v>
      </c>
      <c r="AE49" s="80" t="s">
        <v>232</v>
      </c>
      <c r="AF49" s="85" t="s">
        <v>320</v>
      </c>
    </row>
    <row r="50" spans="5:32" x14ac:dyDescent="0.35">
      <c r="E50" s="2"/>
      <c r="F50" s="9"/>
      <c r="G50" s="6"/>
      <c r="H50" s="2"/>
      <c r="K50" s="2"/>
      <c r="L50" s="9"/>
      <c r="M50" s="2"/>
      <c r="AA50" s="84" t="s">
        <v>304</v>
      </c>
      <c r="AB50" s="90">
        <v>8</v>
      </c>
      <c r="AC50" s="90">
        <v>13.9</v>
      </c>
      <c r="AD50" s="80" t="s">
        <v>305</v>
      </c>
      <c r="AE50" s="80" t="s">
        <v>67</v>
      </c>
      <c r="AF50" s="85" t="s">
        <v>320</v>
      </c>
    </row>
    <row r="51" spans="5:32" x14ac:dyDescent="0.35">
      <c r="E51" s="2"/>
      <c r="F51" s="9"/>
      <c r="G51" s="6"/>
      <c r="H51" s="2"/>
      <c r="K51" s="2"/>
      <c r="L51" s="9"/>
      <c r="M51" s="2"/>
      <c r="AA51" s="84" t="s">
        <v>304</v>
      </c>
      <c r="AB51" s="90">
        <v>28</v>
      </c>
      <c r="AC51" s="90">
        <v>14.1</v>
      </c>
      <c r="AD51" s="80" t="s">
        <v>358</v>
      </c>
      <c r="AE51" s="80" t="s">
        <v>87</v>
      </c>
      <c r="AF51" s="85" t="s">
        <v>359</v>
      </c>
    </row>
    <row r="52" spans="5:32" ht="15" thickBot="1" x14ac:dyDescent="0.4">
      <c r="E52" s="3"/>
      <c r="F52" s="10"/>
      <c r="G52" s="7"/>
      <c r="H52" s="3"/>
      <c r="K52" s="3"/>
      <c r="L52" s="10"/>
      <c r="M52" s="3"/>
      <c r="AA52" s="84" t="s">
        <v>304</v>
      </c>
      <c r="AB52" s="90">
        <v>5</v>
      </c>
      <c r="AC52" s="90">
        <v>14.8</v>
      </c>
      <c r="AD52" s="80" t="s">
        <v>351</v>
      </c>
      <c r="AE52" s="80" t="s">
        <v>240</v>
      </c>
      <c r="AF52" s="85" t="s">
        <v>352</v>
      </c>
    </row>
    <row r="53" spans="5:32" x14ac:dyDescent="0.35">
      <c r="AA53" s="84" t="s">
        <v>304</v>
      </c>
      <c r="AB53" s="90">
        <v>8</v>
      </c>
      <c r="AC53" s="90">
        <v>15</v>
      </c>
      <c r="AD53" s="80" t="s">
        <v>341</v>
      </c>
      <c r="AE53" s="80" t="s">
        <v>70</v>
      </c>
      <c r="AF53" s="85" t="s">
        <v>357</v>
      </c>
    </row>
    <row r="54" spans="5:32" x14ac:dyDescent="0.35">
      <c r="AA54" s="84" t="s">
        <v>303</v>
      </c>
      <c r="AB54" s="90">
        <v>2</v>
      </c>
      <c r="AC54" s="90">
        <v>16.600000000000001</v>
      </c>
      <c r="AD54" s="80" t="s">
        <v>316</v>
      </c>
      <c r="AE54" s="80" t="s">
        <v>73</v>
      </c>
      <c r="AF54" s="85" t="s">
        <v>72</v>
      </c>
    </row>
    <row r="55" spans="5:32" x14ac:dyDescent="0.35">
      <c r="AA55" s="84" t="s">
        <v>303</v>
      </c>
      <c r="AB55" s="90">
        <v>6</v>
      </c>
      <c r="AC55" s="90">
        <v>18.100000000000001</v>
      </c>
      <c r="AD55" s="80" t="s">
        <v>305</v>
      </c>
      <c r="AE55" s="80" t="s">
        <v>53</v>
      </c>
      <c r="AF55" s="85" t="s">
        <v>330</v>
      </c>
    </row>
    <row r="56" spans="5:32" x14ac:dyDescent="0.35">
      <c r="AA56" s="84" t="s">
        <v>321</v>
      </c>
      <c r="AB56" s="90">
        <v>2</v>
      </c>
      <c r="AC56" s="90">
        <v>20.2</v>
      </c>
      <c r="AD56" s="80" t="s">
        <v>341</v>
      </c>
      <c r="AE56" s="80" t="s">
        <v>73</v>
      </c>
      <c r="AF56" s="85" t="s">
        <v>347</v>
      </c>
    </row>
    <row r="57" spans="5:32" x14ac:dyDescent="0.35">
      <c r="AA57" s="84" t="s">
        <v>303</v>
      </c>
      <c r="AB57" s="90">
        <v>2</v>
      </c>
      <c r="AC57" s="90">
        <v>20.8</v>
      </c>
      <c r="AD57" s="80" t="s">
        <v>341</v>
      </c>
      <c r="AE57" s="80" t="s">
        <v>73</v>
      </c>
      <c r="AF57" s="85" t="s">
        <v>72</v>
      </c>
    </row>
    <row r="58" spans="5:32" x14ac:dyDescent="0.35">
      <c r="AA58" s="84" t="s">
        <v>307</v>
      </c>
      <c r="AB58" s="90">
        <v>1</v>
      </c>
      <c r="AC58" s="90">
        <v>22</v>
      </c>
      <c r="AD58" s="80" t="s">
        <v>361</v>
      </c>
      <c r="AE58" s="80" t="s">
        <v>314</v>
      </c>
      <c r="AF58" s="85" t="s">
        <v>328</v>
      </c>
    </row>
    <row r="59" spans="5:32" x14ac:dyDescent="0.35">
      <c r="AA59" s="84" t="s">
        <v>303</v>
      </c>
      <c r="AB59" s="90">
        <v>4</v>
      </c>
      <c r="AC59" s="90">
        <v>22.6</v>
      </c>
      <c r="AD59" s="80" t="s">
        <v>305</v>
      </c>
      <c r="AE59" s="80" t="s">
        <v>281</v>
      </c>
      <c r="AF59" s="85" t="s">
        <v>102</v>
      </c>
    </row>
    <row r="60" spans="5:32" x14ac:dyDescent="0.35">
      <c r="AA60" s="84" t="s">
        <v>303</v>
      </c>
      <c r="AB60" s="90">
        <v>3</v>
      </c>
      <c r="AC60" s="90">
        <v>23</v>
      </c>
      <c r="AD60" s="80" t="s">
        <v>305</v>
      </c>
      <c r="AE60" s="80" t="s">
        <v>279</v>
      </c>
      <c r="AF60" s="85" t="s">
        <v>53</v>
      </c>
    </row>
    <row r="61" spans="5:32" x14ac:dyDescent="0.35">
      <c r="AA61" s="84" t="s">
        <v>303</v>
      </c>
      <c r="AB61" s="90">
        <v>6</v>
      </c>
      <c r="AC61" s="90">
        <v>23.2</v>
      </c>
      <c r="AD61" s="80" t="s">
        <v>332</v>
      </c>
      <c r="AE61" s="80" t="s">
        <v>103</v>
      </c>
      <c r="AF61" s="85" t="s">
        <v>156</v>
      </c>
    </row>
    <row r="62" spans="5:32" x14ac:dyDescent="0.35">
      <c r="AA62" s="84" t="s">
        <v>303</v>
      </c>
      <c r="AB62" s="90">
        <v>6</v>
      </c>
      <c r="AC62" s="90">
        <v>23.9</v>
      </c>
      <c r="AD62" s="80" t="s">
        <v>332</v>
      </c>
      <c r="AE62" s="80" t="s">
        <v>103</v>
      </c>
      <c r="AF62" s="85" t="s">
        <v>328</v>
      </c>
    </row>
    <row r="63" spans="5:32" x14ac:dyDescent="0.35">
      <c r="AA63" s="84" t="s">
        <v>303</v>
      </c>
      <c r="AB63" s="90">
        <v>5</v>
      </c>
      <c r="AC63" s="90">
        <v>25.7</v>
      </c>
      <c r="AD63" s="80" t="s">
        <v>361</v>
      </c>
      <c r="AE63" s="80" t="s">
        <v>279</v>
      </c>
      <c r="AF63" s="85" t="s">
        <v>362</v>
      </c>
    </row>
    <row r="64" spans="5:32" x14ac:dyDescent="0.35">
      <c r="AA64" s="84" t="s">
        <v>303</v>
      </c>
      <c r="AB64" s="90">
        <v>12</v>
      </c>
      <c r="AC64" s="90">
        <v>28.7</v>
      </c>
      <c r="AD64" s="80" t="s">
        <v>305</v>
      </c>
      <c r="AE64" s="80" t="s">
        <v>43</v>
      </c>
      <c r="AF64" s="85" t="s">
        <v>315</v>
      </c>
    </row>
    <row r="65" spans="27:32" x14ac:dyDescent="0.35">
      <c r="AA65" s="84" t="s">
        <v>303</v>
      </c>
      <c r="AB65" s="90">
        <v>5</v>
      </c>
      <c r="AC65" s="90">
        <v>30</v>
      </c>
      <c r="AD65" s="80" t="s">
        <v>332</v>
      </c>
      <c r="AE65" s="80" t="s">
        <v>333</v>
      </c>
      <c r="AF65" s="85" t="s">
        <v>334</v>
      </c>
    </row>
    <row r="66" spans="27:32" x14ac:dyDescent="0.35">
      <c r="AA66" s="84" t="s">
        <v>303</v>
      </c>
      <c r="AB66" s="90">
        <v>10</v>
      </c>
      <c r="AC66" s="90">
        <v>30</v>
      </c>
      <c r="AD66" s="80" t="s">
        <v>341</v>
      </c>
      <c r="AE66" s="80" t="s">
        <v>53</v>
      </c>
      <c r="AF66" s="85" t="s">
        <v>70</v>
      </c>
    </row>
    <row r="67" spans="27:32" x14ac:dyDescent="0.35">
      <c r="AA67" s="84" t="s">
        <v>303</v>
      </c>
      <c r="AB67" s="90">
        <v>16</v>
      </c>
      <c r="AC67" s="90">
        <v>30</v>
      </c>
      <c r="AD67" s="80" t="s">
        <v>341</v>
      </c>
      <c r="AE67" s="80" t="s">
        <v>43</v>
      </c>
      <c r="AF67" s="85" t="s">
        <v>70</v>
      </c>
    </row>
    <row r="68" spans="27:32" x14ac:dyDescent="0.35">
      <c r="AA68" s="84" t="s">
        <v>22</v>
      </c>
      <c r="AB68" s="90">
        <v>80</v>
      </c>
      <c r="AC68" s="90">
        <v>30.9</v>
      </c>
      <c r="AD68" s="80" t="s">
        <v>368</v>
      </c>
      <c r="AE68" s="80" t="s">
        <v>19</v>
      </c>
      <c r="AF68" s="85" t="s">
        <v>365</v>
      </c>
    </row>
    <row r="69" spans="27:32" x14ac:dyDescent="0.35">
      <c r="AA69" s="84" t="s">
        <v>307</v>
      </c>
      <c r="AB69" s="90">
        <v>3</v>
      </c>
      <c r="AC69" s="90">
        <v>36.5</v>
      </c>
      <c r="AD69" s="80" t="s">
        <v>305</v>
      </c>
      <c r="AE69" s="80" t="s">
        <v>156</v>
      </c>
      <c r="AF69" s="85" t="s">
        <v>240</v>
      </c>
    </row>
    <row r="70" spans="27:32" x14ac:dyDescent="0.35">
      <c r="AA70" s="84" t="s">
        <v>307</v>
      </c>
      <c r="AB70" s="90">
        <v>8</v>
      </c>
      <c r="AC70" s="90">
        <v>38</v>
      </c>
      <c r="AD70" s="80" t="s">
        <v>305</v>
      </c>
      <c r="AE70" s="80" t="s">
        <v>313</v>
      </c>
      <c r="AF70" s="85" t="s">
        <v>320</v>
      </c>
    </row>
    <row r="71" spans="27:32" x14ac:dyDescent="0.35">
      <c r="AA71" s="84" t="s">
        <v>22</v>
      </c>
      <c r="AB71" s="90">
        <v>2</v>
      </c>
      <c r="AC71" s="90">
        <v>39.299999999999997</v>
      </c>
      <c r="AD71" s="80" t="s">
        <v>302</v>
      </c>
      <c r="AE71" s="80" t="s">
        <v>19</v>
      </c>
      <c r="AF71" s="85" t="s">
        <v>284</v>
      </c>
    </row>
    <row r="72" spans="27:32" x14ac:dyDescent="0.35">
      <c r="AA72" s="84" t="s">
        <v>307</v>
      </c>
      <c r="AB72" s="90">
        <v>24</v>
      </c>
      <c r="AC72" s="90">
        <v>41</v>
      </c>
      <c r="AD72" s="80" t="s">
        <v>361</v>
      </c>
      <c r="AE72" s="80" t="s">
        <v>366</v>
      </c>
      <c r="AF72" s="85" t="s">
        <v>320</v>
      </c>
    </row>
    <row r="73" spans="27:32" x14ac:dyDescent="0.35">
      <c r="AA73" s="84" t="s">
        <v>22</v>
      </c>
      <c r="AB73" s="90">
        <v>2</v>
      </c>
      <c r="AC73" s="90">
        <v>45.2</v>
      </c>
      <c r="AD73" s="80" t="s">
        <v>302</v>
      </c>
      <c r="AE73" s="80" t="s">
        <v>19</v>
      </c>
      <c r="AF73" s="85" t="s">
        <v>277</v>
      </c>
    </row>
    <row r="74" spans="27:32" x14ac:dyDescent="0.35">
      <c r="AA74" s="84" t="s">
        <v>307</v>
      </c>
      <c r="AB74" s="90">
        <v>2</v>
      </c>
      <c r="AC74" s="90">
        <v>46.4</v>
      </c>
      <c r="AD74" s="80" t="s">
        <v>316</v>
      </c>
      <c r="AE74" s="80" t="s">
        <v>319</v>
      </c>
      <c r="AF74" s="85" t="s">
        <v>156</v>
      </c>
    </row>
    <row r="75" spans="27:32" x14ac:dyDescent="0.35">
      <c r="AA75" s="84" t="s">
        <v>307</v>
      </c>
      <c r="AB75" s="90">
        <v>2</v>
      </c>
      <c r="AC75" s="90">
        <v>46.4</v>
      </c>
      <c r="AD75" s="80" t="s">
        <v>341</v>
      </c>
      <c r="AE75" s="80" t="s">
        <v>346</v>
      </c>
      <c r="AF75" s="85" t="s">
        <v>349</v>
      </c>
    </row>
    <row r="76" spans="27:32" x14ac:dyDescent="0.35">
      <c r="AA76" s="84" t="s">
        <v>350</v>
      </c>
      <c r="AB76" s="90">
        <v>4</v>
      </c>
      <c r="AC76" s="90">
        <v>48.5</v>
      </c>
      <c r="AD76" s="80" t="s">
        <v>351</v>
      </c>
      <c r="AE76" s="80" t="s">
        <v>349</v>
      </c>
      <c r="AF76" s="85" t="s">
        <v>240</v>
      </c>
    </row>
    <row r="77" spans="27:32" x14ac:dyDescent="0.35">
      <c r="AA77" s="84" t="s">
        <v>307</v>
      </c>
      <c r="AB77" s="90">
        <v>20</v>
      </c>
      <c r="AC77" s="90">
        <v>51</v>
      </c>
      <c r="AD77" s="80" t="s">
        <v>361</v>
      </c>
      <c r="AE77" s="80" t="s">
        <v>364</v>
      </c>
      <c r="AF77" s="85" t="s">
        <v>365</v>
      </c>
    </row>
    <row r="78" spans="27:32" x14ac:dyDescent="0.35">
      <c r="AA78" s="84" t="s">
        <v>22</v>
      </c>
      <c r="AB78" s="90">
        <v>2</v>
      </c>
      <c r="AC78" s="90">
        <v>56.6</v>
      </c>
      <c r="AD78" s="80" t="s">
        <v>302</v>
      </c>
      <c r="AE78" s="80" t="s">
        <v>19</v>
      </c>
      <c r="AF78" s="85" t="s">
        <v>278</v>
      </c>
    </row>
    <row r="79" spans="27:32" x14ac:dyDescent="0.35">
      <c r="AA79" s="84" t="s">
        <v>350</v>
      </c>
      <c r="AB79" s="90">
        <v>8</v>
      </c>
      <c r="AC79" s="90">
        <v>69.599999999999994</v>
      </c>
      <c r="AD79" s="80" t="s">
        <v>351</v>
      </c>
      <c r="AE79" s="80" t="s">
        <v>285</v>
      </c>
      <c r="AF79" s="85" t="s">
        <v>353</v>
      </c>
    </row>
    <row r="80" spans="27:32" x14ac:dyDescent="0.35">
      <c r="AA80" s="84" t="s">
        <v>350</v>
      </c>
      <c r="AB80" s="90">
        <v>15</v>
      </c>
      <c r="AC80" s="90">
        <v>73.900000000000006</v>
      </c>
      <c r="AD80" s="80" t="s">
        <v>361</v>
      </c>
      <c r="AE80" s="80" t="s">
        <v>362</v>
      </c>
      <c r="AF80" s="85" t="s">
        <v>363</v>
      </c>
    </row>
    <row r="81" spans="27:32" x14ac:dyDescent="0.35">
      <c r="AA81" s="84" t="s">
        <v>21</v>
      </c>
      <c r="AB81" s="90">
        <v>1</v>
      </c>
      <c r="AC81" s="90">
        <v>112.5</v>
      </c>
      <c r="AD81" s="80" t="s">
        <v>351</v>
      </c>
      <c r="AE81" s="80" t="s">
        <v>49</v>
      </c>
      <c r="AF81" s="85" t="s">
        <v>43</v>
      </c>
    </row>
    <row r="82" spans="27:32" x14ac:dyDescent="0.35">
      <c r="AA82" s="84" t="s">
        <v>21</v>
      </c>
      <c r="AB82" s="90">
        <v>1</v>
      </c>
      <c r="AC82" s="90">
        <v>118.7</v>
      </c>
      <c r="AD82" s="80" t="s">
        <v>360</v>
      </c>
      <c r="AE82" s="80" t="s">
        <v>61</v>
      </c>
      <c r="AF82" s="85" t="s">
        <v>87</v>
      </c>
    </row>
    <row r="83" spans="27:32" x14ac:dyDescent="0.35">
      <c r="AA83" s="84" t="s">
        <v>21</v>
      </c>
      <c r="AB83" s="90">
        <v>1</v>
      </c>
      <c r="AC83" s="90">
        <v>118.7</v>
      </c>
      <c r="AD83" s="80" t="s">
        <v>360</v>
      </c>
      <c r="AE83" s="80" t="s">
        <v>61</v>
      </c>
      <c r="AF83" s="85" t="s">
        <v>87</v>
      </c>
    </row>
    <row r="84" spans="27:32" x14ac:dyDescent="0.35">
      <c r="AA84" s="84" t="s">
        <v>23</v>
      </c>
      <c r="AB84" s="90">
        <v>1</v>
      </c>
      <c r="AC84" s="90">
        <v>134.30000000000001</v>
      </c>
      <c r="AD84" s="80" t="s">
        <v>360</v>
      </c>
      <c r="AE84" s="80" t="s">
        <v>20</v>
      </c>
      <c r="AF84" s="85" t="s">
        <v>103</v>
      </c>
    </row>
    <row r="85" spans="27:32" x14ac:dyDescent="0.35">
      <c r="AA85" s="84" t="s">
        <v>21</v>
      </c>
      <c r="AB85" s="90">
        <v>1</v>
      </c>
      <c r="AC85" s="90">
        <v>151.1</v>
      </c>
      <c r="AD85" s="80" t="s">
        <v>360</v>
      </c>
      <c r="AE85" s="80" t="s">
        <v>88</v>
      </c>
      <c r="AF85" s="85" t="s">
        <v>87</v>
      </c>
    </row>
    <row r="86" spans="27:32" x14ac:dyDescent="0.35">
      <c r="AA86" s="84"/>
      <c r="AB86" s="90"/>
      <c r="AC86" s="90"/>
      <c r="AD86" s="80"/>
      <c r="AE86" s="80"/>
      <c r="AF86" s="85"/>
    </row>
    <row r="87" spans="27:32" x14ac:dyDescent="0.35">
      <c r="AA87" s="84"/>
      <c r="AB87" s="90"/>
      <c r="AC87" s="90"/>
      <c r="AD87" s="80"/>
      <c r="AE87" s="80"/>
      <c r="AF87" s="85"/>
    </row>
    <row r="88" spans="27:32" x14ac:dyDescent="0.35">
      <c r="AA88" s="84"/>
      <c r="AB88" s="80"/>
      <c r="AC88" s="80"/>
      <c r="AD88" s="80"/>
      <c r="AE88" s="80"/>
      <c r="AF88" s="85"/>
    </row>
    <row r="89" spans="27:32" x14ac:dyDescent="0.35">
      <c r="AA89" s="84" t="s">
        <v>337</v>
      </c>
      <c r="AB89" s="90">
        <v>1</v>
      </c>
      <c r="AC89" s="90" t="s">
        <v>335</v>
      </c>
      <c r="AD89" s="80" t="s">
        <v>332</v>
      </c>
      <c r="AE89" s="80" t="s">
        <v>334</v>
      </c>
      <c r="AF89" s="85" t="s">
        <v>336</v>
      </c>
    </row>
    <row r="90" spans="27:32" x14ac:dyDescent="0.35">
      <c r="AA90" s="84" t="s">
        <v>338</v>
      </c>
      <c r="AB90" s="90">
        <v>2</v>
      </c>
      <c r="AC90" s="90" t="s">
        <v>339</v>
      </c>
      <c r="AD90" s="80" t="s">
        <v>332</v>
      </c>
      <c r="AE90" s="80" t="s">
        <v>340</v>
      </c>
      <c r="AF90" s="85" t="s">
        <v>328</v>
      </c>
    </row>
    <row r="91" spans="27:32" x14ac:dyDescent="0.35">
      <c r="AA91" s="84" t="s">
        <v>337</v>
      </c>
      <c r="AB91" s="90">
        <v>12</v>
      </c>
      <c r="AC91" s="80" t="s">
        <v>367</v>
      </c>
      <c r="AD91" s="80" t="s">
        <v>361</v>
      </c>
      <c r="AE91" s="80" t="s">
        <v>363</v>
      </c>
      <c r="AF91" s="85" t="s">
        <v>352</v>
      </c>
    </row>
    <row r="92" spans="27:32" x14ac:dyDescent="0.35">
      <c r="AA92" s="84" t="s">
        <v>376</v>
      </c>
      <c r="AB92" s="90">
        <v>24</v>
      </c>
      <c r="AC92" s="80">
        <v>1</v>
      </c>
      <c r="AD92" s="80"/>
      <c r="AE92" s="80"/>
      <c r="AF92" s="85"/>
    </row>
    <row r="93" spans="27:32" x14ac:dyDescent="0.35">
      <c r="AA93" s="84"/>
      <c r="AB93" s="80"/>
      <c r="AC93" s="80"/>
      <c r="AD93" s="80"/>
      <c r="AE93" s="80"/>
      <c r="AF93" s="85"/>
    </row>
    <row r="94" spans="27:32" x14ac:dyDescent="0.35">
      <c r="AA94" s="84"/>
      <c r="AB94" s="80">
        <f>SUM(AB19:AB91)</f>
        <v>460</v>
      </c>
      <c r="AC94" s="80"/>
      <c r="AD94" s="80"/>
      <c r="AE94" s="80"/>
      <c r="AF94" s="85"/>
    </row>
    <row r="95" spans="27:32" ht="15" thickBot="1" x14ac:dyDescent="0.4">
      <c r="AA95" s="86"/>
      <c r="AB95" s="87"/>
      <c r="AC95" s="87"/>
      <c r="AD95" s="87"/>
      <c r="AE95" s="87"/>
      <c r="AF95" s="88"/>
    </row>
  </sheetData>
  <sortState xmlns:xlrd2="http://schemas.microsoft.com/office/spreadsheetml/2017/richdata2" ref="K20:M32">
    <sortCondition descending="1" ref="L20:L32"/>
  </sortState>
  <mergeCells count="10">
    <mergeCell ref="W29:Y29"/>
    <mergeCell ref="S19:T19"/>
    <mergeCell ref="O18:T18"/>
    <mergeCell ref="K18:M18"/>
    <mergeCell ref="E18:H18"/>
    <mergeCell ref="O19:P19"/>
    <mergeCell ref="Q19:R19"/>
    <mergeCell ref="V18:Y18"/>
    <mergeCell ref="V19:W19"/>
    <mergeCell ref="X19:Y19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BA27-8529-48F2-B06A-7AF70687B38B}">
  <dimension ref="B1:L49"/>
  <sheetViews>
    <sheetView topLeftCell="H1" workbookViewId="0">
      <selection activeCell="A29" sqref="A29"/>
    </sheetView>
  </sheetViews>
  <sheetFormatPr defaultRowHeight="14.5" x14ac:dyDescent="0.35"/>
  <cols>
    <col min="2" max="2" width="25.90625" bestFit="1" customWidth="1"/>
    <col min="3" max="3" width="18" customWidth="1"/>
    <col min="5" max="5" width="16.453125" bestFit="1" customWidth="1"/>
    <col min="6" max="6" width="8.81640625" bestFit="1" customWidth="1"/>
    <col min="7" max="7" width="21.08984375" bestFit="1" customWidth="1"/>
    <col min="8" max="8" width="15.1796875" bestFit="1" customWidth="1"/>
    <col min="10" max="10" width="22.3632812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395</v>
      </c>
    </row>
    <row r="3" spans="2:12" ht="43.5" x14ac:dyDescent="0.35">
      <c r="B3" s="27" t="s">
        <v>10</v>
      </c>
      <c r="C3" s="31" t="s">
        <v>405</v>
      </c>
    </row>
    <row r="4" spans="2:12" x14ac:dyDescent="0.35">
      <c r="B4" s="29" t="s">
        <v>11</v>
      </c>
      <c r="C4" s="37"/>
    </row>
    <row r="5" spans="2:12" x14ac:dyDescent="0.35">
      <c r="B5" s="21" t="s">
        <v>12</v>
      </c>
      <c r="C5" s="25"/>
    </row>
    <row r="6" spans="2:12" x14ac:dyDescent="0.35">
      <c r="B6" s="21" t="s">
        <v>242</v>
      </c>
      <c r="C6" s="25" t="s">
        <v>410</v>
      </c>
    </row>
    <row r="7" spans="2:12" x14ac:dyDescent="0.35">
      <c r="B7" s="21" t="s">
        <v>243</v>
      </c>
      <c r="C7" s="25" t="s">
        <v>412</v>
      </c>
    </row>
    <row r="8" spans="2:12" x14ac:dyDescent="0.35">
      <c r="B8" s="21" t="s">
        <v>244</v>
      </c>
      <c r="C8" s="25" t="s">
        <v>411</v>
      </c>
    </row>
    <row r="9" spans="2:12" x14ac:dyDescent="0.35">
      <c r="B9" s="21" t="s">
        <v>245</v>
      </c>
      <c r="C9" s="25" t="s">
        <v>413</v>
      </c>
    </row>
    <row r="10" spans="2:12" x14ac:dyDescent="0.35">
      <c r="B10" s="21" t="s">
        <v>246</v>
      </c>
      <c r="C10" s="25" t="s">
        <v>414</v>
      </c>
    </row>
    <row r="11" spans="2:12" x14ac:dyDescent="0.35">
      <c r="B11" s="21" t="s">
        <v>247</v>
      </c>
      <c r="C11" s="25" t="s">
        <v>415</v>
      </c>
    </row>
    <row r="12" spans="2:12" x14ac:dyDescent="0.35">
      <c r="B12" s="21" t="s">
        <v>396</v>
      </c>
      <c r="C12" s="25" t="s">
        <v>398</v>
      </c>
    </row>
    <row r="13" spans="2:12" ht="15" thickBot="1" x14ac:dyDescent="0.4">
      <c r="B13" s="22" t="s">
        <v>397</v>
      </c>
      <c r="C13" s="26" t="s">
        <v>399</v>
      </c>
    </row>
    <row r="14" spans="2:12" ht="15" thickBot="1" x14ac:dyDescent="0.4">
      <c r="C14" s="23"/>
    </row>
    <row r="15" spans="2:12" ht="15" thickBot="1" x14ac:dyDescent="0.4">
      <c r="C15" s="23"/>
      <c r="E15" s="120" t="s">
        <v>15</v>
      </c>
      <c r="F15" s="121"/>
      <c r="G15" s="121"/>
      <c r="H15" s="122"/>
      <c r="J15" s="92" t="s">
        <v>16</v>
      </c>
      <c r="K15" s="93"/>
      <c r="L15" s="94"/>
    </row>
    <row r="16" spans="2:12" ht="15" thickBot="1" x14ac:dyDescent="0.4">
      <c r="C16" s="23"/>
      <c r="E16" s="14" t="s">
        <v>0</v>
      </c>
      <c r="F16" s="12" t="s">
        <v>1</v>
      </c>
      <c r="G16" s="14" t="s">
        <v>2</v>
      </c>
      <c r="H16" s="34" t="s">
        <v>264</v>
      </c>
      <c r="J16" s="14" t="s">
        <v>0</v>
      </c>
      <c r="K16" s="12" t="s">
        <v>1</v>
      </c>
      <c r="L16" s="14" t="s">
        <v>24</v>
      </c>
    </row>
    <row r="17" spans="3:12" x14ac:dyDescent="0.35">
      <c r="C17" s="23"/>
      <c r="E17" s="4" t="s">
        <v>41</v>
      </c>
      <c r="F17" s="8">
        <f>41+47/54</f>
        <v>41.870370370370374</v>
      </c>
      <c r="G17" s="5" t="s">
        <v>33</v>
      </c>
      <c r="H17" s="76" t="s">
        <v>286</v>
      </c>
      <c r="J17" s="38" t="s">
        <v>402</v>
      </c>
      <c r="K17" s="8">
        <v>5</v>
      </c>
      <c r="L17" s="4" t="s">
        <v>8</v>
      </c>
    </row>
    <row r="18" spans="3:12" x14ac:dyDescent="0.35">
      <c r="C18" s="23"/>
      <c r="E18" s="2" t="s">
        <v>402</v>
      </c>
      <c r="F18" s="9">
        <v>3000</v>
      </c>
      <c r="G18" s="5" t="s">
        <v>60</v>
      </c>
      <c r="H18" s="2"/>
      <c r="J18" s="38" t="s">
        <v>406</v>
      </c>
      <c r="K18" s="9">
        <v>1.75</v>
      </c>
      <c r="L18" s="4" t="s">
        <v>8</v>
      </c>
    </row>
    <row r="19" spans="3:12" x14ac:dyDescent="0.35">
      <c r="C19" s="23"/>
      <c r="E19" s="2" t="s">
        <v>19</v>
      </c>
      <c r="F19" s="9">
        <f>1221+113/135</f>
        <v>1221.8370370370371</v>
      </c>
      <c r="G19" s="5" t="s">
        <v>62</v>
      </c>
      <c r="H19" s="2"/>
      <c r="J19" s="38" t="s">
        <v>407</v>
      </c>
      <c r="K19" s="9">
        <v>2.91</v>
      </c>
      <c r="L19" s="4" t="s">
        <v>8</v>
      </c>
    </row>
    <row r="20" spans="3:12" x14ac:dyDescent="0.35">
      <c r="C20" s="23"/>
      <c r="E20" s="2" t="s">
        <v>52</v>
      </c>
      <c r="F20" s="9">
        <v>1200</v>
      </c>
      <c r="G20" s="6" t="s">
        <v>60</v>
      </c>
      <c r="H20" s="2"/>
      <c r="J20" s="38" t="s">
        <v>408</v>
      </c>
      <c r="K20" s="9">
        <v>2.83</v>
      </c>
      <c r="L20" s="4" t="s">
        <v>8</v>
      </c>
    </row>
    <row r="21" spans="3:12" x14ac:dyDescent="0.35">
      <c r="C21" s="23"/>
      <c r="E21" s="2" t="s">
        <v>52</v>
      </c>
      <c r="F21" s="9">
        <f>21+113/135</f>
        <v>21.837037037037035</v>
      </c>
      <c r="G21" s="6" t="s">
        <v>403</v>
      </c>
      <c r="H21" s="2"/>
      <c r="J21" s="38" t="s">
        <v>409</v>
      </c>
      <c r="K21" s="9">
        <f>857+17/90</f>
        <v>857.18888888888887</v>
      </c>
      <c r="L21" s="4" t="s">
        <v>8</v>
      </c>
    </row>
    <row r="22" spans="3:12" x14ac:dyDescent="0.35">
      <c r="C22" s="23"/>
      <c r="E22" s="2" t="s">
        <v>213</v>
      </c>
      <c r="F22" s="9">
        <f>543+28/45</f>
        <v>543.62222222222226</v>
      </c>
      <c r="G22" s="6" t="s">
        <v>404</v>
      </c>
      <c r="H22" s="2"/>
      <c r="J22" s="38"/>
      <c r="K22" s="9"/>
      <c r="L22" s="4"/>
    </row>
    <row r="23" spans="3:12" x14ac:dyDescent="0.35">
      <c r="C23" s="23"/>
      <c r="E23" s="2"/>
      <c r="F23" s="9"/>
      <c r="G23" s="6"/>
      <c r="H23" s="2"/>
      <c r="J23" s="38"/>
      <c r="K23" s="9"/>
      <c r="L23" s="4"/>
    </row>
    <row r="24" spans="3:12" x14ac:dyDescent="0.35">
      <c r="C24" s="23"/>
      <c r="E24" s="2"/>
      <c r="F24" s="9"/>
      <c r="G24" s="6"/>
      <c r="H24" s="2"/>
      <c r="J24" s="11"/>
      <c r="K24" s="9"/>
      <c r="L24" s="4"/>
    </row>
    <row r="25" spans="3:12" x14ac:dyDescent="0.35">
      <c r="C25" s="23"/>
      <c r="E25" s="2"/>
      <c r="F25" s="9"/>
      <c r="G25" s="6"/>
      <c r="H25" s="2"/>
      <c r="J25" s="11"/>
      <c r="K25" s="9"/>
      <c r="L25" s="4"/>
    </row>
    <row r="26" spans="3:12" x14ac:dyDescent="0.35">
      <c r="C26" s="23"/>
      <c r="E26" s="2"/>
      <c r="F26" s="9"/>
      <c r="G26" s="6"/>
      <c r="H26" s="2"/>
      <c r="J26" s="11"/>
      <c r="K26" s="9"/>
      <c r="L26" s="4"/>
    </row>
    <row r="27" spans="3:12" x14ac:dyDescent="0.35">
      <c r="C27" s="23"/>
      <c r="E27" s="2"/>
      <c r="F27" s="9"/>
      <c r="G27" s="6"/>
      <c r="H27" s="2"/>
      <c r="J27" s="11"/>
      <c r="K27" s="9"/>
      <c r="L27" s="4"/>
    </row>
    <row r="28" spans="3:12" x14ac:dyDescent="0.35">
      <c r="C28" s="23"/>
      <c r="E28" s="2"/>
      <c r="F28" s="9"/>
      <c r="G28" s="6"/>
      <c r="H28" s="2"/>
      <c r="J28" s="11"/>
      <c r="K28" s="9"/>
      <c r="L28" s="4"/>
    </row>
    <row r="29" spans="3:12" x14ac:dyDescent="0.35">
      <c r="C29" s="23"/>
      <c r="E29" s="2"/>
      <c r="F29" s="9"/>
      <c r="G29" s="6"/>
      <c r="H29" s="2"/>
      <c r="J29" s="11"/>
      <c r="K29" s="9"/>
      <c r="L29" s="4"/>
    </row>
    <row r="30" spans="3:12" x14ac:dyDescent="0.35">
      <c r="C30" s="23"/>
      <c r="E30" s="2"/>
      <c r="F30" s="9"/>
      <c r="G30" s="6"/>
      <c r="H30" s="2"/>
      <c r="J30" s="11"/>
      <c r="K30" s="9"/>
      <c r="L30" s="4"/>
    </row>
    <row r="31" spans="3:12" x14ac:dyDescent="0.35">
      <c r="C31" s="23"/>
      <c r="E31" s="2"/>
      <c r="F31" s="9"/>
      <c r="G31" s="6"/>
      <c r="H31" s="2"/>
      <c r="J31" s="11"/>
      <c r="K31" s="9"/>
      <c r="L31" s="4"/>
    </row>
    <row r="32" spans="3:12" x14ac:dyDescent="0.35">
      <c r="C32" s="23"/>
      <c r="E32" s="2"/>
      <c r="F32" s="9"/>
      <c r="G32" s="6"/>
      <c r="H32" s="2"/>
      <c r="J32" s="11"/>
      <c r="K32" s="9"/>
      <c r="L32" s="4"/>
    </row>
    <row r="33" spans="3:12" x14ac:dyDescent="0.35">
      <c r="C33" s="23"/>
      <c r="E33" s="2"/>
      <c r="F33" s="9"/>
      <c r="G33" s="6"/>
      <c r="H33" s="2"/>
      <c r="J33" s="11"/>
      <c r="K33" s="9"/>
      <c r="L33" s="4"/>
    </row>
    <row r="34" spans="3:12" x14ac:dyDescent="0.35">
      <c r="C34" s="23"/>
      <c r="E34" s="2"/>
      <c r="F34" s="9"/>
      <c r="G34" s="6"/>
      <c r="H34" s="2"/>
      <c r="J34" s="11"/>
      <c r="K34" s="9"/>
      <c r="L34" s="4"/>
    </row>
    <row r="35" spans="3:12" x14ac:dyDescent="0.35">
      <c r="C35" s="23"/>
      <c r="E35" s="2"/>
      <c r="F35" s="9"/>
      <c r="G35" s="6"/>
      <c r="H35" s="2"/>
      <c r="J35" s="11"/>
      <c r="K35" s="9"/>
      <c r="L35" s="2"/>
    </row>
    <row r="36" spans="3:12" x14ac:dyDescent="0.35">
      <c r="C36" s="23"/>
      <c r="E36" s="2"/>
      <c r="F36" s="9"/>
      <c r="G36" s="6"/>
      <c r="H36" s="2"/>
      <c r="J36" s="11"/>
      <c r="K36" s="9"/>
      <c r="L36" s="2"/>
    </row>
    <row r="37" spans="3:12" x14ac:dyDescent="0.35">
      <c r="C37" s="23"/>
      <c r="E37" s="2"/>
      <c r="F37" s="9"/>
      <c r="G37" s="6"/>
      <c r="H37" s="2"/>
      <c r="J37" s="11"/>
      <c r="K37" s="9"/>
      <c r="L37" s="2"/>
    </row>
    <row r="38" spans="3:12" x14ac:dyDescent="0.35">
      <c r="C38" s="23"/>
      <c r="E38" s="2"/>
      <c r="F38" s="9"/>
      <c r="G38" s="6"/>
      <c r="H38" s="2"/>
      <c r="J38" s="11"/>
      <c r="K38" s="9"/>
      <c r="L38" s="2"/>
    </row>
    <row r="39" spans="3:12" x14ac:dyDescent="0.35">
      <c r="E39" s="2"/>
      <c r="F39" s="9"/>
      <c r="G39" s="6"/>
      <c r="H39" s="2"/>
      <c r="J39" s="11"/>
      <c r="K39" s="9"/>
      <c r="L39" s="2"/>
    </row>
    <row r="40" spans="3:12" x14ac:dyDescent="0.35">
      <c r="E40" s="2"/>
      <c r="F40" s="9"/>
      <c r="G40" s="6"/>
      <c r="H40" s="2"/>
      <c r="J40" s="11"/>
      <c r="K40" s="9"/>
      <c r="L40" s="2"/>
    </row>
    <row r="41" spans="3:12" x14ac:dyDescent="0.35">
      <c r="E41" s="2"/>
      <c r="F41" s="9"/>
      <c r="G41" s="6"/>
      <c r="H41" s="2"/>
      <c r="J41" s="11"/>
      <c r="K41" s="9"/>
      <c r="L41" s="2"/>
    </row>
    <row r="42" spans="3:12" x14ac:dyDescent="0.35">
      <c r="E42" s="2"/>
      <c r="F42" s="9"/>
      <c r="G42" s="6"/>
      <c r="H42" s="2"/>
      <c r="J42" s="11"/>
      <c r="K42" s="9"/>
      <c r="L42" s="2"/>
    </row>
    <row r="43" spans="3:12" x14ac:dyDescent="0.35">
      <c r="E43" s="2"/>
      <c r="F43" s="9"/>
      <c r="G43" s="6"/>
      <c r="H43" s="2"/>
      <c r="J43" s="11"/>
      <c r="K43" s="9"/>
      <c r="L43" s="2"/>
    </row>
    <row r="44" spans="3:12" x14ac:dyDescent="0.35">
      <c r="E44" s="2"/>
      <c r="F44" s="9"/>
      <c r="G44" s="6"/>
      <c r="H44" s="2"/>
      <c r="J44" s="11"/>
      <c r="K44" s="9"/>
      <c r="L44" s="2"/>
    </row>
    <row r="45" spans="3:12" x14ac:dyDescent="0.35">
      <c r="E45" s="2"/>
      <c r="F45" s="9"/>
      <c r="G45" s="6"/>
      <c r="H45" s="2"/>
      <c r="J45" s="11"/>
      <c r="K45" s="9"/>
      <c r="L45" s="2"/>
    </row>
    <row r="46" spans="3:12" x14ac:dyDescent="0.35">
      <c r="E46" s="2"/>
      <c r="F46" s="9"/>
      <c r="G46" s="6"/>
      <c r="H46" s="2"/>
      <c r="J46" s="2"/>
      <c r="K46" s="9"/>
      <c r="L46" s="2"/>
    </row>
    <row r="47" spans="3:12" x14ac:dyDescent="0.35">
      <c r="E47" s="2"/>
      <c r="F47" s="9"/>
      <c r="G47" s="6"/>
      <c r="H47" s="2"/>
      <c r="J47" s="2"/>
      <c r="K47" s="9"/>
      <c r="L47" s="2"/>
    </row>
    <row r="48" spans="3:12" x14ac:dyDescent="0.35">
      <c r="E48" s="2"/>
      <c r="F48" s="9"/>
      <c r="G48" s="6"/>
      <c r="H48" s="2"/>
      <c r="J48" s="2"/>
      <c r="K48" s="9"/>
      <c r="L48" s="2"/>
    </row>
    <row r="49" spans="5:12" ht="15" thickBot="1" x14ac:dyDescent="0.4">
      <c r="E49" s="3"/>
      <c r="F49" s="10"/>
      <c r="G49" s="7"/>
      <c r="H49" s="3"/>
      <c r="J49" s="3"/>
      <c r="K49" s="10"/>
      <c r="L49" s="3"/>
    </row>
  </sheetData>
  <mergeCells count="2">
    <mergeCell ref="J15:L15"/>
    <mergeCell ref="E15:H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D34F-6552-48EC-88C9-9BCAF12F75CF}">
  <dimension ref="C3:U1048576"/>
  <sheetViews>
    <sheetView topLeftCell="B1" workbookViewId="0">
      <selection activeCell="AB30" sqref="AB30"/>
    </sheetView>
  </sheetViews>
  <sheetFormatPr defaultRowHeight="14.5" x14ac:dyDescent="0.35"/>
  <cols>
    <col min="3" max="3" width="17.81640625" bestFit="1" customWidth="1"/>
    <col min="4" max="4" width="27.54296875" style="23" customWidth="1"/>
    <col min="6" max="6" width="7.26953125" bestFit="1" customWidth="1"/>
    <col min="7" max="7" width="7.81640625" bestFit="1" customWidth="1"/>
    <col min="8" max="8" width="13.54296875" bestFit="1" customWidth="1"/>
    <col min="10" max="10" width="9.453125" customWidth="1"/>
    <col min="11" max="11" width="8.26953125" bestFit="1" customWidth="1"/>
    <col min="12" max="12" width="11.81640625" customWidth="1"/>
    <col min="13" max="13" width="27" bestFit="1" customWidth="1"/>
    <col min="14" max="14" width="19.90625" bestFit="1" customWidth="1"/>
    <col min="20" max="20" width="10.7265625" customWidth="1"/>
  </cols>
  <sheetData>
    <row r="3" spans="3:21" ht="15" thickBot="1" x14ac:dyDescent="0.4"/>
    <row r="4" spans="3:21" x14ac:dyDescent="0.35">
      <c r="C4" s="20" t="s">
        <v>9</v>
      </c>
      <c r="D4" s="24" t="s">
        <v>33</v>
      </c>
    </row>
    <row r="5" spans="3:21" x14ac:dyDescent="0.35">
      <c r="C5" s="21" t="s">
        <v>10</v>
      </c>
      <c r="D5" s="25" t="s">
        <v>27</v>
      </c>
    </row>
    <row r="6" spans="3:21" ht="88" customHeight="1" x14ac:dyDescent="0.35">
      <c r="C6" s="29" t="s">
        <v>11</v>
      </c>
      <c r="D6" s="30" t="s">
        <v>400</v>
      </c>
    </row>
    <row r="7" spans="3:21" x14ac:dyDescent="0.35">
      <c r="C7" s="21" t="s">
        <v>12</v>
      </c>
      <c r="D7" s="25" t="s">
        <v>36</v>
      </c>
    </row>
    <row r="8" spans="3:21" x14ac:dyDescent="0.35">
      <c r="C8" s="21" t="s">
        <v>13</v>
      </c>
      <c r="D8" s="25" t="s">
        <v>37</v>
      </c>
    </row>
    <row r="9" spans="3:21" x14ac:dyDescent="0.35">
      <c r="C9" s="21" t="s">
        <v>14</v>
      </c>
      <c r="D9" s="25" t="s">
        <v>40</v>
      </c>
    </row>
    <row r="10" spans="3:21" x14ac:dyDescent="0.35">
      <c r="C10" s="21" t="s">
        <v>31</v>
      </c>
      <c r="D10" s="25" t="s">
        <v>38</v>
      </c>
    </row>
    <row r="11" spans="3:21" ht="15" thickBot="1" x14ac:dyDescent="0.4">
      <c r="C11" s="22" t="s">
        <v>32</v>
      </c>
      <c r="D11" s="26" t="s">
        <v>39</v>
      </c>
    </row>
    <row r="12" spans="3:21" ht="15" thickBot="1" x14ac:dyDescent="0.4"/>
    <row r="13" spans="3:21" ht="15" thickBot="1" x14ac:dyDescent="0.4">
      <c r="F13" s="92" t="s">
        <v>15</v>
      </c>
      <c r="G13" s="93"/>
      <c r="H13" s="94"/>
      <c r="K13" s="92" t="s">
        <v>16</v>
      </c>
      <c r="L13" s="93"/>
      <c r="M13" s="93"/>
      <c r="N13" s="94"/>
    </row>
    <row r="14" spans="3:21" ht="15" customHeight="1" thickBot="1" x14ac:dyDescent="0.4">
      <c r="F14" s="14" t="s">
        <v>0</v>
      </c>
      <c r="G14" s="12" t="s">
        <v>1</v>
      </c>
      <c r="H14" s="14" t="s">
        <v>2</v>
      </c>
      <c r="K14" s="14" t="s">
        <v>0</v>
      </c>
      <c r="L14" s="12" t="s">
        <v>1</v>
      </c>
      <c r="M14" s="14" t="s">
        <v>24</v>
      </c>
      <c r="N14" s="34" t="s">
        <v>112</v>
      </c>
      <c r="P14" s="95" t="s">
        <v>115</v>
      </c>
      <c r="Q14" s="95"/>
      <c r="R14" s="95"/>
      <c r="S14" s="95"/>
      <c r="T14" s="95"/>
      <c r="U14" s="95"/>
    </row>
    <row r="15" spans="3:21" x14ac:dyDescent="0.35">
      <c r="F15" s="4" t="s">
        <v>34</v>
      </c>
      <c r="G15" s="8">
        <v>1800</v>
      </c>
      <c r="H15" s="4" t="s">
        <v>21</v>
      </c>
      <c r="K15" s="4" t="s">
        <v>35</v>
      </c>
      <c r="L15" s="8">
        <f>3342+6/7-L16-L17-L18-L19-L20-L21-L22-L23-L24</f>
        <v>1158.2577573976091</v>
      </c>
      <c r="M15" s="4" t="s">
        <v>25</v>
      </c>
      <c r="N15" s="19"/>
      <c r="P15" s="95"/>
      <c r="Q15" s="95"/>
      <c r="R15" s="95"/>
      <c r="S15" s="95"/>
      <c r="T15" s="95"/>
      <c r="U15" s="95"/>
    </row>
    <row r="16" spans="3:21" x14ac:dyDescent="0.35">
      <c r="F16" s="2" t="s">
        <v>19</v>
      </c>
      <c r="G16" s="9">
        <v>514.27200000000005</v>
      </c>
      <c r="H16" s="4" t="s">
        <v>22</v>
      </c>
      <c r="K16" s="4" t="s">
        <v>35</v>
      </c>
      <c r="L16" s="9">
        <v>960</v>
      </c>
      <c r="M16" s="2" t="s">
        <v>55</v>
      </c>
      <c r="N16" s="2" t="s">
        <v>117</v>
      </c>
      <c r="P16" s="95"/>
      <c r="Q16" s="95"/>
      <c r="R16" s="95"/>
      <c r="S16" s="95"/>
      <c r="T16" s="95"/>
      <c r="U16" s="95"/>
    </row>
    <row r="17" spans="6:21" x14ac:dyDescent="0.35">
      <c r="F17" s="2"/>
      <c r="G17" s="9"/>
      <c r="H17" s="2"/>
      <c r="K17" s="4" t="s">
        <v>35</v>
      </c>
      <c r="L17" s="9">
        <v>111.25</v>
      </c>
      <c r="M17" s="2" t="s">
        <v>81</v>
      </c>
      <c r="N17" s="2" t="s">
        <v>116</v>
      </c>
      <c r="P17" s="95"/>
      <c r="Q17" s="95"/>
      <c r="R17" s="95"/>
      <c r="S17" s="95"/>
      <c r="T17" s="95"/>
      <c r="U17" s="95"/>
    </row>
    <row r="18" spans="6:21" x14ac:dyDescent="0.35">
      <c r="F18" s="2"/>
      <c r="G18" s="9"/>
      <c r="H18" s="2"/>
      <c r="K18" s="4" t="s">
        <v>35</v>
      </c>
      <c r="L18" s="9">
        <v>37.5</v>
      </c>
      <c r="M18" s="2" t="s">
        <v>90</v>
      </c>
      <c r="N18" s="2" t="s">
        <v>116</v>
      </c>
    </row>
    <row r="19" spans="6:21" x14ac:dyDescent="0.35">
      <c r="F19" s="2"/>
      <c r="G19" s="9"/>
      <c r="H19" s="2"/>
      <c r="K19" s="4" t="s">
        <v>118</v>
      </c>
      <c r="L19" s="9">
        <v>234.25</v>
      </c>
      <c r="M19" s="2" t="s">
        <v>111</v>
      </c>
      <c r="N19" s="2" t="s">
        <v>119</v>
      </c>
    </row>
    <row r="20" spans="6:21" x14ac:dyDescent="0.35">
      <c r="F20" s="2"/>
      <c r="G20" s="9"/>
      <c r="H20" s="2"/>
      <c r="K20" s="4" t="s">
        <v>35</v>
      </c>
      <c r="L20" s="9">
        <v>150</v>
      </c>
      <c r="M20" s="2" t="s">
        <v>173</v>
      </c>
      <c r="N20" s="2"/>
      <c r="P20" s="96" t="s">
        <v>147</v>
      </c>
      <c r="Q20" s="96"/>
      <c r="R20" s="96"/>
      <c r="S20" s="96"/>
      <c r="T20" s="96"/>
      <c r="U20" s="96"/>
    </row>
    <row r="21" spans="6:21" x14ac:dyDescent="0.35">
      <c r="F21" s="2"/>
      <c r="G21" s="9"/>
      <c r="H21" s="2"/>
      <c r="K21" s="4" t="s">
        <v>35</v>
      </c>
      <c r="L21" s="9">
        <v>12.013</v>
      </c>
      <c r="M21" s="2" t="s">
        <v>221</v>
      </c>
      <c r="N21" s="2"/>
    </row>
    <row r="22" spans="6:21" x14ac:dyDescent="0.35">
      <c r="F22" s="2"/>
      <c r="G22" s="9"/>
      <c r="H22" s="2"/>
      <c r="K22" s="2" t="s">
        <v>35</v>
      </c>
      <c r="L22" s="9">
        <f>9+3/8</f>
        <v>9.375</v>
      </c>
      <c r="M22" s="2" t="s">
        <v>162</v>
      </c>
      <c r="N22" s="2"/>
      <c r="P22" s="95" t="s">
        <v>175</v>
      </c>
      <c r="Q22" s="95"/>
      <c r="R22" s="95"/>
      <c r="S22" s="95"/>
      <c r="T22" s="95"/>
      <c r="U22" s="95"/>
    </row>
    <row r="23" spans="6:21" x14ac:dyDescent="0.35">
      <c r="F23" s="2"/>
      <c r="G23" s="9"/>
      <c r="H23" s="2"/>
      <c r="K23" s="2" t="s">
        <v>35</v>
      </c>
      <c r="L23">
        <f>628+1243/3645</f>
        <v>628.34101508916319</v>
      </c>
      <c r="M23" s="2" t="s">
        <v>258</v>
      </c>
      <c r="N23" s="2"/>
      <c r="P23" s="95"/>
      <c r="Q23" s="95"/>
      <c r="R23" s="95"/>
      <c r="S23" s="95"/>
      <c r="T23" s="95"/>
      <c r="U23" s="95"/>
    </row>
    <row r="24" spans="6:21" x14ac:dyDescent="0.35">
      <c r="F24" s="2"/>
      <c r="G24" s="9"/>
      <c r="H24" s="2"/>
      <c r="K24" s="2" t="s">
        <v>35</v>
      </c>
      <c r="L24" s="9">
        <f>41+47/54</f>
        <v>41.870370370370374</v>
      </c>
      <c r="M24" s="2" t="s">
        <v>395</v>
      </c>
      <c r="N24" s="2"/>
      <c r="P24" s="95"/>
      <c r="Q24" s="95"/>
      <c r="R24" s="95"/>
      <c r="S24" s="95"/>
      <c r="T24" s="95"/>
      <c r="U24" s="95"/>
    </row>
    <row r="25" spans="6:21" x14ac:dyDescent="0.35">
      <c r="F25" s="2"/>
      <c r="G25" s="9"/>
      <c r="H25" s="2"/>
      <c r="K25" s="2"/>
      <c r="L25" s="9"/>
      <c r="M25" s="2"/>
      <c r="N25" s="2"/>
      <c r="P25" s="95"/>
      <c r="Q25" s="95"/>
      <c r="R25" s="95"/>
      <c r="S25" s="95"/>
      <c r="T25" s="95"/>
      <c r="U25" s="95"/>
    </row>
    <row r="26" spans="6:21" ht="14.5" customHeight="1" x14ac:dyDescent="0.35">
      <c r="F26" s="2"/>
      <c r="G26" s="9"/>
      <c r="H26" s="2"/>
      <c r="K26" s="2"/>
      <c r="L26" s="9"/>
      <c r="M26" s="2"/>
      <c r="N26" s="2"/>
      <c r="P26" s="95" t="s">
        <v>275</v>
      </c>
      <c r="Q26" s="95"/>
      <c r="R26" s="95"/>
      <c r="S26" s="95"/>
      <c r="T26" s="95"/>
      <c r="U26" s="95"/>
    </row>
    <row r="27" spans="6:21" x14ac:dyDescent="0.35">
      <c r="F27" s="2"/>
      <c r="G27" s="9"/>
      <c r="H27" s="2"/>
      <c r="K27" s="2"/>
      <c r="L27" s="9"/>
      <c r="M27" s="2"/>
      <c r="N27" s="2"/>
      <c r="P27" s="95"/>
      <c r="Q27" s="95"/>
      <c r="R27" s="95"/>
      <c r="S27" s="95"/>
      <c r="T27" s="95"/>
      <c r="U27" s="95"/>
    </row>
    <row r="28" spans="6:21" x14ac:dyDescent="0.35">
      <c r="F28" s="2"/>
      <c r="G28" s="9"/>
      <c r="H28" s="2"/>
      <c r="K28" s="2"/>
      <c r="L28" s="9"/>
      <c r="M28" s="2"/>
      <c r="N28" s="2"/>
      <c r="P28" s="95"/>
      <c r="Q28" s="95"/>
      <c r="R28" s="95"/>
      <c r="S28" s="95"/>
      <c r="T28" s="95"/>
      <c r="U28" s="95"/>
    </row>
    <row r="29" spans="6:21" x14ac:dyDescent="0.35">
      <c r="F29" s="2"/>
      <c r="G29" s="9"/>
      <c r="H29" s="2"/>
      <c r="K29" s="2"/>
      <c r="L29" s="9"/>
      <c r="M29" s="2"/>
      <c r="N29" s="2"/>
      <c r="P29" s="95"/>
      <c r="Q29" s="95"/>
      <c r="R29" s="95"/>
      <c r="S29" s="95"/>
      <c r="T29" s="95"/>
      <c r="U29" s="95"/>
    </row>
    <row r="30" spans="6:21" ht="14.5" customHeight="1" x14ac:dyDescent="0.35">
      <c r="F30" s="2"/>
      <c r="G30" s="9"/>
      <c r="H30" s="2"/>
      <c r="K30" s="2"/>
      <c r="L30" s="9"/>
      <c r="M30" s="2"/>
      <c r="N30" s="2"/>
      <c r="P30" s="95" t="s">
        <v>401</v>
      </c>
      <c r="Q30" s="95"/>
      <c r="R30" s="95"/>
      <c r="S30" s="95"/>
      <c r="T30" s="95"/>
      <c r="U30" s="95"/>
    </row>
    <row r="31" spans="6:21" x14ac:dyDescent="0.35">
      <c r="F31" s="2"/>
      <c r="G31" s="9"/>
      <c r="H31" s="2"/>
      <c r="K31" s="2"/>
      <c r="L31" s="9"/>
      <c r="M31" s="2"/>
      <c r="N31" s="2"/>
      <c r="P31" s="95"/>
      <c r="Q31" s="95"/>
      <c r="R31" s="95"/>
      <c r="S31" s="95"/>
      <c r="T31" s="95"/>
      <c r="U31" s="95"/>
    </row>
    <row r="32" spans="6:21" x14ac:dyDescent="0.35">
      <c r="F32" s="2"/>
      <c r="G32" s="9"/>
      <c r="H32" s="2"/>
      <c r="K32" s="2"/>
      <c r="L32" s="9"/>
      <c r="M32" s="2"/>
      <c r="N32" s="2"/>
      <c r="P32" s="95"/>
      <c r="Q32" s="95"/>
      <c r="R32" s="95"/>
      <c r="S32" s="95"/>
      <c r="T32" s="95"/>
      <c r="U32" s="95"/>
    </row>
    <row r="33" spans="6:21" x14ac:dyDescent="0.35">
      <c r="F33" s="2"/>
      <c r="G33" s="9"/>
      <c r="H33" s="2"/>
      <c r="K33" s="2"/>
      <c r="L33" s="9"/>
      <c r="M33" s="2"/>
      <c r="N33" s="2"/>
      <c r="P33" s="95"/>
      <c r="Q33" s="95"/>
      <c r="R33" s="95"/>
      <c r="S33" s="95"/>
      <c r="T33" s="95"/>
      <c r="U33" s="95"/>
    </row>
    <row r="34" spans="6:21" x14ac:dyDescent="0.35">
      <c r="F34" s="2"/>
      <c r="G34" s="9"/>
      <c r="H34" s="2"/>
      <c r="K34" s="2"/>
      <c r="L34" s="9"/>
      <c r="M34" s="2"/>
      <c r="N34" s="2"/>
    </row>
    <row r="35" spans="6:21" x14ac:dyDescent="0.35">
      <c r="F35" s="2"/>
      <c r="G35" s="9"/>
      <c r="H35" s="2"/>
      <c r="K35" s="2"/>
      <c r="L35" s="9"/>
      <c r="M35" s="2"/>
      <c r="N35" s="2"/>
    </row>
    <row r="36" spans="6:21" x14ac:dyDescent="0.35">
      <c r="F36" s="2"/>
      <c r="G36" s="9"/>
      <c r="H36" s="2"/>
      <c r="K36" s="2"/>
      <c r="L36" s="9"/>
      <c r="M36" s="2"/>
      <c r="N36" s="2"/>
    </row>
    <row r="37" spans="6:21" x14ac:dyDescent="0.35">
      <c r="F37" s="2"/>
      <c r="G37" s="9"/>
      <c r="H37" s="2"/>
      <c r="K37" s="2"/>
      <c r="L37" s="9"/>
      <c r="M37" s="2"/>
      <c r="N37" s="2"/>
    </row>
    <row r="38" spans="6:21" x14ac:dyDescent="0.35">
      <c r="F38" s="2"/>
      <c r="G38" s="9"/>
      <c r="H38" s="2"/>
      <c r="K38" s="2"/>
      <c r="L38" s="9"/>
      <c r="M38" s="2"/>
      <c r="N38" s="2"/>
    </row>
    <row r="39" spans="6:21" x14ac:dyDescent="0.35">
      <c r="F39" s="2"/>
      <c r="G39" s="9"/>
      <c r="H39" s="2"/>
      <c r="K39" s="2"/>
      <c r="L39" s="9"/>
      <c r="M39" s="2"/>
      <c r="N39" s="2"/>
    </row>
    <row r="40" spans="6:21" x14ac:dyDescent="0.35">
      <c r="F40" s="2"/>
      <c r="G40" s="9"/>
      <c r="H40" s="2"/>
      <c r="K40" s="2"/>
      <c r="L40" s="9"/>
      <c r="M40" s="2"/>
      <c r="N40" s="2"/>
    </row>
    <row r="41" spans="6:21" x14ac:dyDescent="0.35">
      <c r="F41" s="2"/>
      <c r="G41" s="9"/>
      <c r="H41" s="2"/>
      <c r="K41" s="2"/>
      <c r="L41" s="9"/>
      <c r="M41" s="2"/>
      <c r="N41" s="2"/>
    </row>
    <row r="42" spans="6:21" x14ac:dyDescent="0.35">
      <c r="F42" s="2"/>
      <c r="G42" s="9"/>
      <c r="H42" s="2"/>
      <c r="K42" s="2"/>
      <c r="L42" s="9"/>
      <c r="M42" s="2"/>
      <c r="N42" s="2"/>
    </row>
    <row r="43" spans="6:21" x14ac:dyDescent="0.35">
      <c r="F43" s="2"/>
      <c r="G43" s="9"/>
      <c r="H43" s="2"/>
      <c r="K43" s="2"/>
      <c r="L43" s="9"/>
      <c r="M43" s="2"/>
      <c r="N43" s="2"/>
    </row>
    <row r="44" spans="6:21" x14ac:dyDescent="0.35">
      <c r="F44" s="2"/>
      <c r="G44" s="9"/>
      <c r="H44" s="2"/>
      <c r="K44" s="2"/>
      <c r="L44" s="9"/>
      <c r="M44" s="2"/>
      <c r="N44" s="2"/>
    </row>
    <row r="45" spans="6:21" x14ac:dyDescent="0.35">
      <c r="F45" s="2"/>
      <c r="G45" s="9"/>
      <c r="H45" s="2"/>
      <c r="K45" s="2"/>
      <c r="L45" s="9"/>
      <c r="M45" s="2"/>
      <c r="N45" s="2"/>
    </row>
    <row r="46" spans="6:21" x14ac:dyDescent="0.35">
      <c r="F46" s="2"/>
      <c r="G46" s="9"/>
      <c r="H46" s="2"/>
      <c r="K46" s="2"/>
      <c r="L46" s="9"/>
      <c r="M46" s="2"/>
      <c r="N46" s="2"/>
    </row>
    <row r="47" spans="6:21" ht="15" thickBot="1" x14ac:dyDescent="0.4">
      <c r="F47" s="3"/>
      <c r="G47" s="10"/>
      <c r="H47" s="3"/>
      <c r="K47" s="3"/>
      <c r="L47" s="10"/>
      <c r="M47" s="3"/>
      <c r="N47" s="3"/>
    </row>
    <row r="1048576" spans="11:11" x14ac:dyDescent="0.35">
      <c r="K1048576" s="4"/>
    </row>
  </sheetData>
  <mergeCells count="7">
    <mergeCell ref="P26:U29"/>
    <mergeCell ref="P30:U33"/>
    <mergeCell ref="P14:U17"/>
    <mergeCell ref="F13:H13"/>
    <mergeCell ref="K13:N13"/>
    <mergeCell ref="P20:U20"/>
    <mergeCell ref="P22:U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50C4-6C4D-4B59-A3BC-5B1F652DB40B}">
  <dimension ref="B1:L45"/>
  <sheetViews>
    <sheetView topLeftCell="C5" workbookViewId="0">
      <selection activeCell="O48" sqref="O48"/>
    </sheetView>
  </sheetViews>
  <sheetFormatPr defaultRowHeight="14.5" x14ac:dyDescent="0.35"/>
  <cols>
    <col min="2" max="2" width="17.81640625" bestFit="1" customWidth="1"/>
    <col min="3" max="3" width="25.90625" customWidth="1"/>
    <col min="5" max="5" width="11.7265625" bestFit="1" customWidth="1"/>
    <col min="6" max="6" width="7.36328125" bestFit="1" customWidth="1"/>
    <col min="7" max="7" width="13.54296875" bestFit="1" customWidth="1"/>
    <col min="10" max="10" width="13.7265625" bestFit="1" customWidth="1"/>
    <col min="11" max="11" width="10.54296875" customWidth="1"/>
    <col min="12" max="12" width="16.453125" bestFit="1" customWidth="1"/>
    <col min="13" max="13" width="13.6328125" customWidth="1"/>
  </cols>
  <sheetData>
    <row r="1" spans="2:12" ht="15" thickBot="1" x14ac:dyDescent="0.4"/>
    <row r="2" spans="2:12" x14ac:dyDescent="0.35">
      <c r="B2" s="20" t="s">
        <v>9</v>
      </c>
      <c r="C2" s="24" t="s">
        <v>50</v>
      </c>
    </row>
    <row r="3" spans="2:12" x14ac:dyDescent="0.35">
      <c r="B3" s="21" t="s">
        <v>10</v>
      </c>
      <c r="C3" s="25" t="s">
        <v>27</v>
      </c>
    </row>
    <row r="4" spans="2:12" ht="76.5" customHeight="1" x14ac:dyDescent="0.35">
      <c r="B4" s="29" t="s">
        <v>11</v>
      </c>
      <c r="C4" s="31" t="s">
        <v>252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140</v>
      </c>
    </row>
    <row r="7" spans="2:12" x14ac:dyDescent="0.35">
      <c r="B7" s="21" t="s">
        <v>14</v>
      </c>
      <c r="C7" s="25" t="s">
        <v>141</v>
      </c>
    </row>
    <row r="8" spans="2:12" x14ac:dyDescent="0.35">
      <c r="B8" s="21" t="s">
        <v>31</v>
      </c>
      <c r="C8" s="25" t="s">
        <v>51</v>
      </c>
    </row>
    <row r="9" spans="2:12" ht="15" thickBot="1" x14ac:dyDescent="0.4">
      <c r="B9" s="22" t="s">
        <v>32</v>
      </c>
      <c r="C9" s="26" t="s">
        <v>142</v>
      </c>
    </row>
    <row r="10" spans="2:12" ht="15" thickBot="1" x14ac:dyDescent="0.4">
      <c r="C10" s="23"/>
    </row>
    <row r="11" spans="2:12" ht="15" thickBot="1" x14ac:dyDescent="0.4">
      <c r="C11" s="23"/>
      <c r="E11" s="92" t="s">
        <v>15</v>
      </c>
      <c r="F11" s="93"/>
      <c r="G11" s="94"/>
      <c r="J11" s="92" t="s">
        <v>16</v>
      </c>
      <c r="K11" s="93"/>
      <c r="L11" s="94"/>
    </row>
    <row r="12" spans="2:12" ht="15" thickBot="1" x14ac:dyDescent="0.4">
      <c r="C12" s="23"/>
      <c r="E12" s="14" t="s">
        <v>0</v>
      </c>
      <c r="F12" s="12" t="s">
        <v>1</v>
      </c>
      <c r="G12" s="14" t="s">
        <v>2</v>
      </c>
      <c r="J12" s="14" t="s">
        <v>0</v>
      </c>
      <c r="K12" s="12" t="s">
        <v>1</v>
      </c>
      <c r="L12" s="14" t="s">
        <v>24</v>
      </c>
    </row>
    <row r="13" spans="2:12" x14ac:dyDescent="0.35">
      <c r="C13" s="23"/>
      <c r="E13" s="4" t="s">
        <v>52</v>
      </c>
      <c r="F13" s="8">
        <v>576</v>
      </c>
      <c r="G13" s="4" t="s">
        <v>21</v>
      </c>
      <c r="J13" s="4" t="s">
        <v>53</v>
      </c>
      <c r="K13" s="8">
        <v>4.5670000000000002</v>
      </c>
      <c r="L13" s="4" t="s">
        <v>8</v>
      </c>
    </row>
    <row r="14" spans="2:12" x14ac:dyDescent="0.35">
      <c r="C14" s="23"/>
      <c r="E14" s="2" t="s">
        <v>19</v>
      </c>
      <c r="F14" s="9">
        <v>576</v>
      </c>
      <c r="G14" s="4" t="s">
        <v>22</v>
      </c>
      <c r="J14" s="4" t="s">
        <v>53</v>
      </c>
      <c r="K14" s="9">
        <v>18</v>
      </c>
      <c r="L14" s="2" t="s">
        <v>81</v>
      </c>
    </row>
    <row r="15" spans="2:12" x14ac:dyDescent="0.35">
      <c r="C15" s="23"/>
      <c r="E15" s="2"/>
      <c r="F15" s="9"/>
      <c r="G15" s="2"/>
      <c r="J15" s="4" t="s">
        <v>53</v>
      </c>
      <c r="K15" s="9">
        <v>18</v>
      </c>
      <c r="L15" s="2" t="s">
        <v>90</v>
      </c>
    </row>
    <row r="16" spans="2:12" x14ac:dyDescent="0.35">
      <c r="C16" s="23"/>
      <c r="E16" s="2"/>
      <c r="F16" s="9"/>
      <c r="G16" s="2"/>
      <c r="J16" s="4" t="s">
        <v>53</v>
      </c>
      <c r="K16" s="9">
        <v>158.333</v>
      </c>
      <c r="L16" s="2" t="s">
        <v>148</v>
      </c>
    </row>
    <row r="17" spans="3:12" x14ac:dyDescent="0.35">
      <c r="C17" s="23"/>
      <c r="E17" s="2"/>
      <c r="F17" s="9"/>
      <c r="G17" s="2"/>
      <c r="J17" s="4" t="s">
        <v>53</v>
      </c>
      <c r="K17" s="9">
        <v>9.6</v>
      </c>
      <c r="L17" s="2" t="s">
        <v>173</v>
      </c>
    </row>
    <row r="18" spans="3:12" x14ac:dyDescent="0.35">
      <c r="C18" s="23"/>
      <c r="E18" s="2"/>
      <c r="F18" s="9"/>
      <c r="G18" s="2"/>
      <c r="J18" s="4" t="s">
        <v>53</v>
      </c>
      <c r="K18" s="9">
        <v>72</v>
      </c>
      <c r="L18" s="2" t="s">
        <v>203</v>
      </c>
    </row>
    <row r="19" spans="3:12" x14ac:dyDescent="0.35">
      <c r="C19" s="23"/>
      <c r="E19" s="2"/>
      <c r="F19" s="9"/>
      <c r="G19" s="2"/>
      <c r="J19" s="4" t="s">
        <v>53</v>
      </c>
      <c r="K19" s="9">
        <v>5</v>
      </c>
      <c r="L19" s="2" t="s">
        <v>221</v>
      </c>
    </row>
    <row r="20" spans="3:12" x14ac:dyDescent="0.35">
      <c r="C20" s="23"/>
      <c r="E20" s="2"/>
      <c r="F20" s="9"/>
      <c r="G20" s="2"/>
      <c r="J20" s="2" t="s">
        <v>53</v>
      </c>
      <c r="K20" s="9">
        <v>2.5</v>
      </c>
      <c r="L20" s="2" t="s">
        <v>253</v>
      </c>
    </row>
    <row r="21" spans="3:12" x14ac:dyDescent="0.35">
      <c r="C21" s="23"/>
      <c r="E21" s="2"/>
      <c r="F21" s="9"/>
      <c r="G21" s="2"/>
      <c r="J21" s="2"/>
      <c r="K21" s="9"/>
      <c r="L21" s="2"/>
    </row>
    <row r="22" spans="3:12" x14ac:dyDescent="0.35">
      <c r="C22" s="23"/>
      <c r="E22" s="2"/>
      <c r="F22" s="9"/>
      <c r="G22" s="2"/>
      <c r="J22" s="2"/>
      <c r="K22" s="9"/>
      <c r="L22" s="2"/>
    </row>
    <row r="23" spans="3:12" x14ac:dyDescent="0.35">
      <c r="C23" s="23"/>
      <c r="E23" s="2"/>
      <c r="F23" s="9"/>
      <c r="G23" s="2"/>
      <c r="J23" s="2"/>
      <c r="K23" s="9"/>
      <c r="L23" s="2"/>
    </row>
    <row r="24" spans="3:12" x14ac:dyDescent="0.35">
      <c r="C24" s="23"/>
      <c r="E24" s="2"/>
      <c r="F24" s="9"/>
      <c r="G24" s="2"/>
      <c r="J24" s="2"/>
      <c r="K24" s="9"/>
      <c r="L24" s="2"/>
    </row>
    <row r="25" spans="3:12" x14ac:dyDescent="0.35">
      <c r="C25" s="23"/>
      <c r="E25" s="2"/>
      <c r="F25" s="9"/>
      <c r="G25" s="2"/>
      <c r="J25" s="2"/>
      <c r="K25" s="9"/>
      <c r="L25" s="2"/>
    </row>
    <row r="26" spans="3:12" x14ac:dyDescent="0.35">
      <c r="C26" s="23"/>
      <c r="E26" s="2"/>
      <c r="F26" s="9"/>
      <c r="G26" s="2"/>
      <c r="J26" s="2"/>
      <c r="K26" s="9"/>
      <c r="L26" s="2"/>
    </row>
    <row r="27" spans="3:12" x14ac:dyDescent="0.35">
      <c r="C27" s="23"/>
      <c r="E27" s="2"/>
      <c r="F27" s="9"/>
      <c r="G27" s="2"/>
      <c r="J27" s="2"/>
      <c r="K27" s="9"/>
      <c r="L27" s="2"/>
    </row>
    <row r="28" spans="3:12" x14ac:dyDescent="0.35">
      <c r="C28" s="23"/>
      <c r="E28" s="2"/>
      <c r="F28" s="9"/>
      <c r="G28" s="2"/>
      <c r="J28" s="2"/>
      <c r="K28" s="9"/>
      <c r="L28" s="2"/>
    </row>
    <row r="29" spans="3:12" x14ac:dyDescent="0.35">
      <c r="C29" s="23"/>
      <c r="E29" s="2"/>
      <c r="F29" s="9"/>
      <c r="G29" s="2"/>
      <c r="J29" s="2"/>
      <c r="K29" s="9"/>
      <c r="L29" s="2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x14ac:dyDescent="0.35">
      <c r="E44" s="2"/>
      <c r="F44" s="9"/>
      <c r="G44" s="2"/>
      <c r="J44" s="2"/>
      <c r="K44" s="9"/>
      <c r="L44" s="2"/>
    </row>
    <row r="45" spans="3:12" ht="15" thickBot="1" x14ac:dyDescent="0.4">
      <c r="E45" s="3"/>
      <c r="F45" s="10"/>
      <c r="G45" s="3"/>
      <c r="J45" s="3"/>
      <c r="K45" s="10"/>
      <c r="L45" s="3"/>
    </row>
  </sheetData>
  <mergeCells count="2">
    <mergeCell ref="E11:G11"/>
    <mergeCell ref="J11:L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3EB3-FE0B-4D28-A04E-DA4ABD2C8717}">
  <dimension ref="B1:T45"/>
  <sheetViews>
    <sheetView topLeftCell="E1" zoomScale="70" zoomScaleNormal="70" workbookViewId="0">
      <selection activeCell="O39" sqref="O39"/>
    </sheetView>
  </sheetViews>
  <sheetFormatPr defaultRowHeight="14.5" x14ac:dyDescent="0.35"/>
  <cols>
    <col min="2" max="2" width="17.81640625" bestFit="1" customWidth="1"/>
    <col min="3" max="3" width="37.36328125" customWidth="1"/>
    <col min="5" max="5" width="10.08984375" customWidth="1"/>
    <col min="6" max="6" width="7.36328125" bestFit="1" customWidth="1"/>
    <col min="7" max="7" width="13.54296875" bestFit="1" customWidth="1"/>
    <col min="10" max="10" width="12.81640625" bestFit="1" customWidth="1"/>
    <col min="11" max="11" width="16.54296875" customWidth="1"/>
    <col min="12" max="12" width="27.6328125" bestFit="1" customWidth="1"/>
    <col min="13" max="13" width="27.6328125" customWidth="1"/>
    <col min="15" max="15" width="18.08984375" customWidth="1"/>
    <col min="23" max="24" width="19.7265625" customWidth="1"/>
  </cols>
  <sheetData>
    <row r="1" spans="2:20" ht="15" thickBot="1" x14ac:dyDescent="0.4"/>
    <row r="2" spans="2:20" x14ac:dyDescent="0.35">
      <c r="B2" s="20" t="s">
        <v>9</v>
      </c>
      <c r="C2" s="24" t="s">
        <v>44</v>
      </c>
    </row>
    <row r="3" spans="2:20" x14ac:dyDescent="0.35">
      <c r="B3" s="21" t="s">
        <v>10</v>
      </c>
      <c r="C3" s="25" t="s">
        <v>27</v>
      </c>
    </row>
    <row r="4" spans="2:20" ht="65" customHeight="1" x14ac:dyDescent="0.35">
      <c r="B4" s="29" t="s">
        <v>11</v>
      </c>
      <c r="C4" s="31" t="s">
        <v>268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45</v>
      </c>
    </row>
    <row r="7" spans="2:20" x14ac:dyDescent="0.35">
      <c r="B7" s="21" t="s">
        <v>14</v>
      </c>
      <c r="C7" s="25" t="s">
        <v>46</v>
      </c>
    </row>
    <row r="8" spans="2:20" x14ac:dyDescent="0.35">
      <c r="B8" s="21" t="s">
        <v>31</v>
      </c>
      <c r="C8" s="25" t="s">
        <v>47</v>
      </c>
    </row>
    <row r="9" spans="2:20" ht="15" thickBot="1" x14ac:dyDescent="0.4">
      <c r="B9" s="22" t="s">
        <v>32</v>
      </c>
      <c r="C9" s="26" t="s">
        <v>48</v>
      </c>
    </row>
    <row r="10" spans="2:20" ht="15" thickBot="1" x14ac:dyDescent="0.4">
      <c r="C10" s="23"/>
    </row>
    <row r="11" spans="2:20" ht="15" thickBot="1" x14ac:dyDescent="0.4">
      <c r="C11" s="23"/>
      <c r="E11" s="92" t="s">
        <v>15</v>
      </c>
      <c r="F11" s="93"/>
      <c r="G11" s="94"/>
      <c r="J11" s="92" t="s">
        <v>16</v>
      </c>
      <c r="K11" s="93"/>
      <c r="L11" s="93"/>
      <c r="M11" s="94"/>
    </row>
    <row r="12" spans="2:20" ht="15" thickBot="1" x14ac:dyDescent="0.4">
      <c r="C12" s="23"/>
      <c r="E12" s="14" t="s">
        <v>0</v>
      </c>
      <c r="F12" s="12" t="s">
        <v>1</v>
      </c>
      <c r="G12" s="14" t="s">
        <v>2</v>
      </c>
      <c r="J12" s="32" t="s">
        <v>0</v>
      </c>
      <c r="K12" s="33" t="s">
        <v>1</v>
      </c>
      <c r="L12" s="32" t="s">
        <v>24</v>
      </c>
      <c r="M12" s="34" t="s">
        <v>112</v>
      </c>
      <c r="O12" s="95" t="s">
        <v>93</v>
      </c>
      <c r="P12" s="95"/>
      <c r="Q12" s="95"/>
      <c r="R12" s="95"/>
      <c r="S12" s="95"/>
      <c r="T12" s="95"/>
    </row>
    <row r="13" spans="2:20" x14ac:dyDescent="0.35">
      <c r="C13" s="23"/>
      <c r="E13" s="4" t="s">
        <v>49</v>
      </c>
      <c r="F13" s="8">
        <v>900</v>
      </c>
      <c r="G13" s="4" t="s">
        <v>21</v>
      </c>
      <c r="J13" s="4" t="s">
        <v>43</v>
      </c>
      <c r="K13" s="8">
        <f>2250-K14-K15-K16-K17-K18-K19-K20</f>
        <v>99.690888888888594</v>
      </c>
      <c r="L13" s="5" t="s">
        <v>25</v>
      </c>
      <c r="M13" s="19"/>
      <c r="O13" s="95"/>
      <c r="P13" s="95"/>
      <c r="Q13" s="95"/>
      <c r="R13" s="95"/>
      <c r="S13" s="95"/>
      <c r="T13" s="95"/>
    </row>
    <row r="14" spans="2:20" x14ac:dyDescent="0.35">
      <c r="C14" s="23"/>
      <c r="E14" s="2" t="s">
        <v>19</v>
      </c>
      <c r="F14" s="9">
        <v>600</v>
      </c>
      <c r="G14" s="4" t="s">
        <v>22</v>
      </c>
      <c r="J14" s="4" t="s">
        <v>43</v>
      </c>
      <c r="K14" s="9">
        <v>142.5</v>
      </c>
      <c r="L14" s="6" t="s">
        <v>81</v>
      </c>
      <c r="M14" s="2" t="s">
        <v>114</v>
      </c>
      <c r="O14" s="95"/>
      <c r="P14" s="95"/>
      <c r="Q14" s="95"/>
      <c r="R14" s="95"/>
      <c r="S14" s="95"/>
      <c r="T14" s="95"/>
    </row>
    <row r="15" spans="2:20" x14ac:dyDescent="0.35">
      <c r="C15" s="23"/>
      <c r="E15" s="2"/>
      <c r="F15" s="9"/>
      <c r="G15" s="2"/>
      <c r="J15" s="4" t="s">
        <v>43</v>
      </c>
      <c r="K15" s="9">
        <v>104.65</v>
      </c>
      <c r="L15" s="6" t="s">
        <v>90</v>
      </c>
      <c r="M15" s="2" t="s">
        <v>114</v>
      </c>
      <c r="O15" s="95"/>
      <c r="P15" s="95"/>
      <c r="Q15" s="95"/>
      <c r="R15" s="95"/>
      <c r="S15" s="95"/>
      <c r="T15" s="95"/>
    </row>
    <row r="16" spans="2:20" x14ac:dyDescent="0.35">
      <c r="C16" s="23"/>
      <c r="E16" s="2"/>
      <c r="F16" s="9"/>
      <c r="G16" s="2"/>
      <c r="J16" s="4" t="s">
        <v>43</v>
      </c>
      <c r="K16" s="9">
        <v>113.833</v>
      </c>
      <c r="L16" s="6" t="s">
        <v>111</v>
      </c>
      <c r="M16" s="2" t="s">
        <v>113</v>
      </c>
      <c r="O16" s="95" t="s">
        <v>110</v>
      </c>
      <c r="P16" s="95"/>
      <c r="Q16" s="95"/>
      <c r="R16" s="95"/>
      <c r="S16" s="95"/>
      <c r="T16" s="95"/>
    </row>
    <row r="17" spans="3:20" x14ac:dyDescent="0.35">
      <c r="C17" s="23"/>
      <c r="E17" s="2"/>
      <c r="F17" s="9"/>
      <c r="G17" s="2"/>
      <c r="J17" s="4" t="s">
        <v>43</v>
      </c>
      <c r="K17" s="9">
        <v>246.67</v>
      </c>
      <c r="L17" s="6" t="s">
        <v>129</v>
      </c>
      <c r="M17" s="2" t="s">
        <v>130</v>
      </c>
      <c r="O17" s="95"/>
      <c r="P17" s="95"/>
      <c r="Q17" s="95"/>
      <c r="R17" s="95"/>
      <c r="S17" s="95"/>
      <c r="T17" s="95"/>
    </row>
    <row r="18" spans="3:20" x14ac:dyDescent="0.35">
      <c r="C18" s="23"/>
      <c r="E18" s="2"/>
      <c r="F18" s="9"/>
      <c r="G18" s="2"/>
      <c r="J18" s="4" t="s">
        <v>43</v>
      </c>
      <c r="K18" s="9">
        <v>1272.67</v>
      </c>
      <c r="L18" s="4" t="s">
        <v>148</v>
      </c>
      <c r="M18" s="2"/>
      <c r="O18" s="95"/>
      <c r="P18" s="95"/>
      <c r="Q18" s="95"/>
      <c r="R18" s="95"/>
      <c r="S18" s="95"/>
      <c r="T18" s="95"/>
    </row>
    <row r="19" spans="3:20" x14ac:dyDescent="0.35">
      <c r="C19" s="23"/>
      <c r="E19" s="2"/>
      <c r="F19" s="9"/>
      <c r="G19" s="2"/>
      <c r="J19" s="4" t="s">
        <v>172</v>
      </c>
      <c r="K19" s="9">
        <v>13.2</v>
      </c>
      <c r="L19" s="6" t="s">
        <v>173</v>
      </c>
      <c r="M19" s="2"/>
      <c r="O19" s="95"/>
      <c r="P19" s="95"/>
      <c r="Q19" s="95"/>
      <c r="R19" s="95"/>
      <c r="S19" s="95"/>
      <c r="T19" s="95"/>
    </row>
    <row r="20" spans="3:20" ht="14.5" customHeight="1" x14ac:dyDescent="0.35">
      <c r="C20" s="23"/>
      <c r="E20" s="2"/>
      <c r="F20" s="9"/>
      <c r="G20" s="2"/>
      <c r="J20" s="2" t="s">
        <v>43</v>
      </c>
      <c r="K20" s="9">
        <f>226.8+29+71/72</f>
        <v>256.7861111111111</v>
      </c>
      <c r="L20" s="6" t="s">
        <v>258</v>
      </c>
      <c r="M20" s="2"/>
    </row>
    <row r="21" spans="3:20" x14ac:dyDescent="0.35">
      <c r="C21" s="23"/>
      <c r="E21" s="2"/>
      <c r="F21" s="9"/>
      <c r="G21" s="2"/>
      <c r="J21" s="2"/>
      <c r="K21" s="9"/>
      <c r="L21" s="6"/>
      <c r="M21" s="2"/>
      <c r="O21" s="96" t="s">
        <v>147</v>
      </c>
      <c r="P21" s="96"/>
      <c r="Q21" s="96"/>
      <c r="R21" s="96"/>
      <c r="S21" s="96"/>
      <c r="T21" s="96"/>
    </row>
    <row r="22" spans="3:20" x14ac:dyDescent="0.35">
      <c r="C22" s="23"/>
      <c r="E22" s="2"/>
      <c r="F22" s="9"/>
      <c r="G22" s="2"/>
      <c r="J22" s="2"/>
      <c r="K22" s="9"/>
      <c r="L22" s="6"/>
      <c r="M22" s="2"/>
    </row>
    <row r="23" spans="3:20" x14ac:dyDescent="0.35">
      <c r="C23" s="23"/>
      <c r="E23" s="2"/>
      <c r="F23" s="9"/>
      <c r="G23" s="2"/>
      <c r="J23" s="2"/>
      <c r="K23" s="9"/>
      <c r="L23" s="6"/>
      <c r="M23" s="2"/>
      <c r="O23" s="95" t="s">
        <v>174</v>
      </c>
      <c r="P23" s="95"/>
      <c r="Q23" s="95"/>
      <c r="R23" s="95"/>
      <c r="S23" s="95"/>
      <c r="T23" s="95"/>
    </row>
    <row r="24" spans="3:20" x14ac:dyDescent="0.35">
      <c r="C24" s="23"/>
      <c r="E24" s="2"/>
      <c r="F24" s="9"/>
      <c r="G24" s="2"/>
      <c r="J24" s="2"/>
      <c r="K24" s="9"/>
      <c r="L24" s="6"/>
      <c r="M24" s="2"/>
      <c r="O24" s="95"/>
      <c r="P24" s="95"/>
      <c r="Q24" s="95"/>
      <c r="R24" s="95"/>
      <c r="S24" s="95"/>
      <c r="T24" s="95"/>
    </row>
    <row r="25" spans="3:20" x14ac:dyDescent="0.35">
      <c r="C25" s="23"/>
      <c r="E25" s="2"/>
      <c r="F25" s="9"/>
      <c r="G25" s="2"/>
      <c r="J25" s="2"/>
      <c r="K25" s="9"/>
      <c r="L25" s="6"/>
      <c r="M25" s="2"/>
      <c r="O25" s="95"/>
      <c r="P25" s="95"/>
      <c r="Q25" s="95"/>
      <c r="R25" s="95"/>
      <c r="S25" s="95"/>
      <c r="T25" s="95"/>
    </row>
    <row r="26" spans="3:20" x14ac:dyDescent="0.35">
      <c r="C26" s="23"/>
      <c r="E26" s="2"/>
      <c r="F26" s="9"/>
      <c r="G26" s="2"/>
      <c r="J26" s="2"/>
      <c r="K26" s="9"/>
      <c r="L26" s="6"/>
      <c r="M26" s="2"/>
      <c r="O26" s="95"/>
      <c r="P26" s="95"/>
      <c r="Q26" s="95"/>
      <c r="R26" s="95"/>
      <c r="S26" s="95"/>
      <c r="T26" s="95"/>
    </row>
    <row r="27" spans="3:20" x14ac:dyDescent="0.35">
      <c r="C27" s="23"/>
      <c r="E27" s="2"/>
      <c r="F27" s="9"/>
      <c r="G27" s="2"/>
      <c r="J27" s="2"/>
      <c r="K27" s="9"/>
      <c r="L27" s="6"/>
      <c r="M27" s="2"/>
      <c r="O27" s="95" t="s">
        <v>151</v>
      </c>
      <c r="P27" s="95"/>
      <c r="Q27" s="95"/>
      <c r="R27" s="95"/>
      <c r="S27" s="95"/>
      <c r="T27" s="95"/>
    </row>
    <row r="28" spans="3:20" x14ac:dyDescent="0.35">
      <c r="C28" s="23"/>
      <c r="E28" s="2"/>
      <c r="F28" s="9"/>
      <c r="G28" s="2"/>
      <c r="J28" s="2"/>
      <c r="K28" s="9"/>
      <c r="L28" s="6"/>
      <c r="M28" s="2"/>
      <c r="O28" s="95"/>
      <c r="P28" s="95"/>
      <c r="Q28" s="95"/>
      <c r="R28" s="95"/>
      <c r="S28" s="95"/>
      <c r="T28" s="95"/>
    </row>
    <row r="29" spans="3:20" x14ac:dyDescent="0.35">
      <c r="C29" s="23"/>
      <c r="E29" s="2"/>
      <c r="F29" s="9"/>
      <c r="G29" s="2"/>
      <c r="J29" s="2"/>
      <c r="K29" s="9"/>
      <c r="L29" s="6"/>
      <c r="M29" s="2"/>
      <c r="O29" s="95"/>
      <c r="P29" s="95"/>
      <c r="Q29" s="95"/>
      <c r="R29" s="95"/>
      <c r="S29" s="95"/>
      <c r="T29" s="95"/>
    </row>
    <row r="30" spans="3:20" x14ac:dyDescent="0.35">
      <c r="C30" s="23"/>
      <c r="E30" s="2"/>
      <c r="F30" s="9"/>
      <c r="G30" s="2"/>
      <c r="J30" s="2"/>
      <c r="K30" s="9"/>
      <c r="L30" s="6"/>
      <c r="M30" s="2"/>
      <c r="O30" s="95"/>
      <c r="P30" s="95"/>
      <c r="Q30" s="95"/>
      <c r="R30" s="95"/>
      <c r="S30" s="95"/>
      <c r="T30" s="95"/>
    </row>
    <row r="31" spans="3:20" x14ac:dyDescent="0.35">
      <c r="C31" s="23"/>
      <c r="E31" s="2"/>
      <c r="F31" s="9"/>
      <c r="G31" s="2"/>
      <c r="J31" s="2"/>
      <c r="K31" s="9"/>
      <c r="L31" s="6"/>
      <c r="M31" s="2"/>
      <c r="O31" s="95" t="s">
        <v>152</v>
      </c>
      <c r="P31" s="95"/>
      <c r="Q31" s="95"/>
      <c r="R31" s="95"/>
      <c r="S31" s="95"/>
      <c r="T31" s="95"/>
    </row>
    <row r="32" spans="3:20" x14ac:dyDescent="0.35">
      <c r="C32" s="23"/>
      <c r="E32" s="2"/>
      <c r="F32" s="9"/>
      <c r="G32" s="2"/>
      <c r="J32" s="2"/>
      <c r="K32" s="9"/>
      <c r="L32" s="6"/>
      <c r="M32" s="2"/>
      <c r="O32" s="95"/>
      <c r="P32" s="95"/>
      <c r="Q32" s="95"/>
      <c r="R32" s="95"/>
      <c r="S32" s="95"/>
      <c r="T32" s="95"/>
    </row>
    <row r="33" spans="3:20" x14ac:dyDescent="0.35">
      <c r="C33" s="23"/>
      <c r="E33" s="2"/>
      <c r="F33" s="9"/>
      <c r="G33" s="2"/>
      <c r="J33" s="2"/>
      <c r="K33" s="9"/>
      <c r="L33" s="6"/>
      <c r="M33" s="2"/>
      <c r="O33" s="95"/>
      <c r="P33" s="95"/>
      <c r="Q33" s="95"/>
      <c r="R33" s="95"/>
      <c r="S33" s="95"/>
      <c r="T33" s="95"/>
    </row>
    <row r="34" spans="3:20" x14ac:dyDescent="0.35">
      <c r="C34" s="23"/>
      <c r="E34" s="2"/>
      <c r="F34" s="9"/>
      <c r="G34" s="2"/>
      <c r="J34" s="2"/>
      <c r="K34" s="9"/>
      <c r="L34" s="6"/>
      <c r="M34" s="2"/>
      <c r="O34" s="95"/>
      <c r="P34" s="95"/>
      <c r="Q34" s="95"/>
      <c r="R34" s="95"/>
      <c r="S34" s="95"/>
      <c r="T34" s="95"/>
    </row>
    <row r="35" spans="3:20" x14ac:dyDescent="0.35">
      <c r="C35" s="23"/>
      <c r="E35" s="2"/>
      <c r="F35" s="9"/>
      <c r="G35" s="2"/>
      <c r="J35" s="2"/>
      <c r="K35" s="9"/>
      <c r="L35" s="6"/>
      <c r="M35" s="2"/>
      <c r="O35" s="95" t="s">
        <v>273</v>
      </c>
      <c r="P35" s="95"/>
      <c r="Q35" s="95"/>
      <c r="R35" s="95"/>
      <c r="S35" s="95"/>
      <c r="T35" s="95"/>
    </row>
    <row r="36" spans="3:20" x14ac:dyDescent="0.35">
      <c r="C36" s="23"/>
      <c r="E36" s="2"/>
      <c r="F36" s="9"/>
      <c r="G36" s="2"/>
      <c r="J36" s="2"/>
      <c r="K36" s="9"/>
      <c r="L36" s="6"/>
      <c r="M36" s="2"/>
      <c r="O36" s="95"/>
      <c r="P36" s="95"/>
      <c r="Q36" s="95"/>
      <c r="R36" s="95"/>
      <c r="S36" s="95"/>
      <c r="T36" s="95"/>
    </row>
    <row r="37" spans="3:20" x14ac:dyDescent="0.35">
      <c r="E37" s="2"/>
      <c r="F37" s="9"/>
      <c r="G37" s="2"/>
      <c r="J37" s="2"/>
      <c r="K37" s="9"/>
      <c r="L37" s="6"/>
      <c r="M37" s="2"/>
      <c r="O37" s="95"/>
      <c r="P37" s="95"/>
      <c r="Q37" s="95"/>
      <c r="R37" s="95"/>
      <c r="S37" s="95"/>
      <c r="T37" s="95"/>
    </row>
    <row r="38" spans="3:20" x14ac:dyDescent="0.35">
      <c r="E38" s="2"/>
      <c r="F38" s="9"/>
      <c r="G38" s="2"/>
      <c r="J38" s="2"/>
      <c r="K38" s="9"/>
      <c r="L38" s="6"/>
      <c r="M38" s="2"/>
      <c r="O38" s="95"/>
      <c r="P38" s="95"/>
      <c r="Q38" s="95"/>
      <c r="R38" s="95"/>
      <c r="S38" s="95"/>
      <c r="T38" s="95"/>
    </row>
    <row r="39" spans="3:20" x14ac:dyDescent="0.35">
      <c r="E39" s="2"/>
      <c r="F39" s="9"/>
      <c r="G39" s="2"/>
      <c r="J39" s="2"/>
      <c r="K39" s="9"/>
      <c r="L39" s="6"/>
      <c r="M39" s="2"/>
    </row>
    <row r="40" spans="3:20" x14ac:dyDescent="0.35">
      <c r="E40" s="2"/>
      <c r="F40" s="9"/>
      <c r="G40" s="2"/>
      <c r="J40" s="2"/>
      <c r="K40" s="9"/>
      <c r="L40" s="6"/>
      <c r="M40" s="2"/>
    </row>
    <row r="41" spans="3:20" x14ac:dyDescent="0.35">
      <c r="E41" s="2"/>
      <c r="F41" s="9"/>
      <c r="G41" s="2"/>
      <c r="J41" s="2"/>
      <c r="K41" s="9"/>
      <c r="L41" s="6"/>
      <c r="M41" s="2"/>
    </row>
    <row r="42" spans="3:20" x14ac:dyDescent="0.35">
      <c r="E42" s="2"/>
      <c r="F42" s="9"/>
      <c r="G42" s="2"/>
      <c r="J42" s="2"/>
      <c r="K42" s="9"/>
      <c r="L42" s="6"/>
      <c r="M42" s="2"/>
    </row>
    <row r="43" spans="3:20" x14ac:dyDescent="0.35">
      <c r="E43" s="2"/>
      <c r="F43" s="9"/>
      <c r="G43" s="2"/>
      <c r="J43" s="2"/>
      <c r="K43" s="9"/>
      <c r="L43" s="6"/>
      <c r="M43" s="2"/>
    </row>
    <row r="44" spans="3:20" x14ac:dyDescent="0.35">
      <c r="E44" s="2"/>
      <c r="F44" s="9"/>
      <c r="G44" s="2"/>
      <c r="J44" s="2"/>
      <c r="K44" s="9"/>
      <c r="L44" s="6"/>
      <c r="M44" s="2"/>
    </row>
    <row r="45" spans="3:20" ht="15" thickBot="1" x14ac:dyDescent="0.4">
      <c r="E45" s="3"/>
      <c r="F45" s="10"/>
      <c r="G45" s="3"/>
      <c r="J45" s="3"/>
      <c r="K45" s="10"/>
      <c r="L45" s="7"/>
      <c r="M45" s="3"/>
    </row>
  </sheetData>
  <mergeCells count="9">
    <mergeCell ref="O35:T38"/>
    <mergeCell ref="O27:T30"/>
    <mergeCell ref="O31:T34"/>
    <mergeCell ref="E11:G11"/>
    <mergeCell ref="O12:T15"/>
    <mergeCell ref="O16:T19"/>
    <mergeCell ref="J11:M11"/>
    <mergeCell ref="O23:T26"/>
    <mergeCell ref="O21:T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FFE6-32CC-4ED3-90D1-1E871DB3E098}">
  <dimension ref="B1:Z49"/>
  <sheetViews>
    <sheetView topLeftCell="G1" zoomScaleNormal="100" workbookViewId="0">
      <selection activeCell="L27" sqref="L27"/>
    </sheetView>
  </sheetViews>
  <sheetFormatPr defaultRowHeight="14.5" x14ac:dyDescent="0.35"/>
  <cols>
    <col min="2" max="2" width="17.81640625" bestFit="1" customWidth="1"/>
    <col min="3" max="3" width="28" customWidth="1"/>
    <col min="5" max="5" width="9.1796875" bestFit="1" customWidth="1"/>
    <col min="6" max="6" width="7.36328125" bestFit="1" customWidth="1"/>
    <col min="7" max="7" width="13.6328125" bestFit="1" customWidth="1"/>
    <col min="10" max="10" width="10.54296875" bestFit="1" customWidth="1"/>
    <col min="11" max="11" width="15.26953125" customWidth="1"/>
    <col min="12" max="12" width="16.54296875" bestFit="1" customWidth="1"/>
    <col min="13" max="13" width="15.1796875" bestFit="1" customWidth="1"/>
    <col min="14" max="14" width="12.453125" bestFit="1" customWidth="1"/>
  </cols>
  <sheetData>
    <row r="1" spans="2:20" ht="15" thickBot="1" x14ac:dyDescent="0.4"/>
    <row r="2" spans="2:20" x14ac:dyDescent="0.35">
      <c r="B2" s="20" t="s">
        <v>9</v>
      </c>
      <c r="C2" s="24" t="s">
        <v>55</v>
      </c>
    </row>
    <row r="3" spans="2:20" x14ac:dyDescent="0.35">
      <c r="B3" s="21" t="s">
        <v>10</v>
      </c>
      <c r="C3" s="25" t="s">
        <v>33</v>
      </c>
    </row>
    <row r="4" spans="2:20" ht="46" customHeight="1" x14ac:dyDescent="0.35">
      <c r="B4" s="29" t="s">
        <v>11</v>
      </c>
      <c r="C4" s="30" t="s">
        <v>266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56</v>
      </c>
    </row>
    <row r="7" spans="2:20" x14ac:dyDescent="0.35">
      <c r="B7" s="21" t="s">
        <v>14</v>
      </c>
      <c r="C7" s="25" t="s">
        <v>57</v>
      </c>
    </row>
    <row r="8" spans="2:20" x14ac:dyDescent="0.35">
      <c r="B8" s="21" t="s">
        <v>31</v>
      </c>
      <c r="C8" s="25" t="s">
        <v>58</v>
      </c>
    </row>
    <row r="9" spans="2:20" ht="15" thickBot="1" x14ac:dyDescent="0.4">
      <c r="B9" s="22" t="s">
        <v>32</v>
      </c>
      <c r="C9" s="26" t="s">
        <v>59</v>
      </c>
    </row>
    <row r="10" spans="2:20" ht="15" thickBot="1" x14ac:dyDescent="0.4">
      <c r="C10" s="23"/>
    </row>
    <row r="11" spans="2:20" ht="15" thickBot="1" x14ac:dyDescent="0.4">
      <c r="C11" s="23"/>
      <c r="E11" s="92" t="s">
        <v>15</v>
      </c>
      <c r="F11" s="93"/>
      <c r="G11" s="94"/>
      <c r="J11" s="92" t="s">
        <v>16</v>
      </c>
      <c r="K11" s="93"/>
      <c r="L11" s="93"/>
      <c r="M11" s="94"/>
    </row>
    <row r="12" spans="2:20" ht="15" customHeight="1" thickBot="1" x14ac:dyDescent="0.4">
      <c r="C12" s="23"/>
      <c r="E12" s="14" t="s">
        <v>0</v>
      </c>
      <c r="F12" s="12" t="s">
        <v>1</v>
      </c>
      <c r="G12" s="14" t="s">
        <v>2</v>
      </c>
      <c r="J12" s="32" t="s">
        <v>0</v>
      </c>
      <c r="K12" s="33" t="s">
        <v>1</v>
      </c>
      <c r="L12" s="32" t="s">
        <v>24</v>
      </c>
      <c r="M12" s="34" t="s">
        <v>264</v>
      </c>
      <c r="O12" s="95" t="s">
        <v>84</v>
      </c>
      <c r="P12" s="95"/>
      <c r="Q12" s="95"/>
      <c r="R12" s="95"/>
      <c r="S12" s="95"/>
      <c r="T12" s="95"/>
    </row>
    <row r="13" spans="2:20" x14ac:dyDescent="0.35">
      <c r="C13" s="23"/>
      <c r="E13" s="4" t="s">
        <v>41</v>
      </c>
      <c r="F13" s="8">
        <v>960</v>
      </c>
      <c r="G13" s="4" t="s">
        <v>33</v>
      </c>
      <c r="J13" s="4" t="s">
        <v>54</v>
      </c>
      <c r="K13" s="8">
        <f>1440-K14-K15-K16-K17-K18-K19</f>
        <v>224.07229629629634</v>
      </c>
      <c r="L13" s="5" t="s">
        <v>25</v>
      </c>
      <c r="M13" s="19"/>
      <c r="O13" s="95"/>
      <c r="P13" s="95"/>
      <c r="Q13" s="95"/>
      <c r="R13" s="95"/>
      <c r="S13" s="95"/>
      <c r="T13" s="95"/>
    </row>
    <row r="14" spans="2:20" x14ac:dyDescent="0.35">
      <c r="C14" s="23"/>
      <c r="E14" s="2" t="s">
        <v>17</v>
      </c>
      <c r="F14" s="9">
        <v>960</v>
      </c>
      <c r="G14" s="4" t="s">
        <v>60</v>
      </c>
      <c r="J14" s="4" t="s">
        <v>54</v>
      </c>
      <c r="K14" s="9">
        <v>300</v>
      </c>
      <c r="L14" s="6" t="s">
        <v>81</v>
      </c>
      <c r="M14" s="2"/>
      <c r="O14" s="95"/>
      <c r="P14" s="95"/>
      <c r="Q14" s="95"/>
      <c r="R14" s="95"/>
      <c r="S14" s="95"/>
      <c r="T14" s="95"/>
    </row>
    <row r="15" spans="2:20" x14ac:dyDescent="0.35">
      <c r="C15" s="23"/>
      <c r="E15" s="2"/>
      <c r="F15" s="9"/>
      <c r="G15" s="2"/>
      <c r="J15" s="4" t="s">
        <v>54</v>
      </c>
      <c r="K15" s="9">
        <v>392.666</v>
      </c>
      <c r="L15" s="6" t="s">
        <v>199</v>
      </c>
      <c r="M15" s="2" t="s">
        <v>286</v>
      </c>
      <c r="O15" s="95"/>
      <c r="P15" s="95"/>
      <c r="Q15" s="95"/>
      <c r="R15" s="95"/>
      <c r="S15" s="95"/>
      <c r="T15" s="95"/>
    </row>
    <row r="16" spans="2:20" x14ac:dyDescent="0.35">
      <c r="C16" s="23"/>
      <c r="E16" s="2"/>
      <c r="F16" s="9"/>
      <c r="G16" s="2"/>
      <c r="J16" s="4" t="s">
        <v>54</v>
      </c>
      <c r="K16" s="9">
        <v>110.01</v>
      </c>
      <c r="L16" s="6" t="s">
        <v>221</v>
      </c>
      <c r="M16" s="2" t="s">
        <v>286</v>
      </c>
    </row>
    <row r="17" spans="3:26" x14ac:dyDescent="0.35">
      <c r="C17" s="23"/>
      <c r="E17" s="2"/>
      <c r="F17" s="9"/>
      <c r="G17" s="2"/>
      <c r="J17" s="4" t="s">
        <v>54</v>
      </c>
      <c r="K17" s="9">
        <v>40.887999999999998</v>
      </c>
      <c r="L17" s="6" t="s">
        <v>234</v>
      </c>
      <c r="M17" s="2" t="s">
        <v>286</v>
      </c>
    </row>
    <row r="18" spans="3:26" ht="15" thickBot="1" x14ac:dyDescent="0.4">
      <c r="C18" s="23"/>
      <c r="E18" s="2"/>
      <c r="F18" s="9"/>
      <c r="G18" s="2"/>
      <c r="J18" s="4" t="s">
        <v>54</v>
      </c>
      <c r="K18" s="9">
        <f>'Tollarian Meltdown'!V21+'Tollarian Meltdown'!V22</f>
        <v>214.07037037037037</v>
      </c>
      <c r="L18" s="6" t="s">
        <v>258</v>
      </c>
      <c r="M18" s="2" t="s">
        <v>265</v>
      </c>
    </row>
    <row r="19" spans="3:26" ht="15" thickBot="1" x14ac:dyDescent="0.4">
      <c r="C19" s="23"/>
      <c r="E19" s="2"/>
      <c r="F19" s="9"/>
      <c r="G19" s="2"/>
      <c r="J19" s="4" t="s">
        <v>54</v>
      </c>
      <c r="K19" s="9">
        <f>158+22/75</f>
        <v>158.29333333333332</v>
      </c>
      <c r="L19" s="6" t="s">
        <v>258</v>
      </c>
      <c r="M19" s="2" t="s">
        <v>286</v>
      </c>
      <c r="O19" s="106" t="s">
        <v>147</v>
      </c>
      <c r="P19" s="107"/>
      <c r="Q19" s="107"/>
      <c r="R19" s="107"/>
      <c r="S19" s="107"/>
      <c r="T19" s="108"/>
    </row>
    <row r="20" spans="3:26" x14ac:dyDescent="0.35">
      <c r="C20" s="23"/>
      <c r="E20" s="2"/>
      <c r="F20" s="9"/>
      <c r="G20" s="2"/>
      <c r="J20" s="2"/>
      <c r="K20" s="9"/>
      <c r="L20" s="6"/>
      <c r="M20" s="2"/>
      <c r="O20" s="97" t="s">
        <v>294</v>
      </c>
      <c r="P20" s="98"/>
      <c r="Q20" s="98"/>
      <c r="R20" s="98"/>
      <c r="S20" s="98"/>
      <c r="T20" s="99"/>
    </row>
    <row r="21" spans="3:26" x14ac:dyDescent="0.35">
      <c r="C21" s="23"/>
      <c r="E21" s="2"/>
      <c r="F21" s="9"/>
      <c r="G21" s="2"/>
      <c r="J21" s="2"/>
      <c r="K21" s="9"/>
      <c r="L21" s="6"/>
      <c r="M21" s="2"/>
      <c r="O21" s="100"/>
      <c r="P21" s="101"/>
      <c r="Q21" s="101"/>
      <c r="R21" s="101"/>
      <c r="S21" s="101"/>
      <c r="T21" s="102"/>
    </row>
    <row r="22" spans="3:26" ht="15" thickBot="1" x14ac:dyDescent="0.4">
      <c r="C22" s="23"/>
      <c r="E22" s="2"/>
      <c r="F22" s="9"/>
      <c r="G22" s="2"/>
      <c r="J22" s="2"/>
      <c r="K22" s="9"/>
      <c r="L22" s="6"/>
      <c r="M22" s="2"/>
      <c r="O22" s="103"/>
      <c r="P22" s="104"/>
      <c r="Q22" s="104"/>
      <c r="R22" s="104"/>
      <c r="S22" s="104"/>
      <c r="T22" s="105"/>
    </row>
    <row r="23" spans="3:26" x14ac:dyDescent="0.35">
      <c r="C23" s="23"/>
      <c r="E23" s="2"/>
      <c r="F23" s="9"/>
      <c r="G23" s="2"/>
      <c r="J23" s="2"/>
      <c r="K23" s="9"/>
      <c r="L23" s="6"/>
      <c r="M23" s="2"/>
      <c r="O23" s="97" t="s">
        <v>293</v>
      </c>
      <c r="P23" s="98"/>
      <c r="Q23" s="98"/>
      <c r="R23" s="98"/>
      <c r="S23" s="98"/>
      <c r="T23" s="99"/>
    </row>
    <row r="24" spans="3:26" x14ac:dyDescent="0.35">
      <c r="C24" s="23"/>
      <c r="E24" s="2"/>
      <c r="F24" s="9"/>
      <c r="G24" s="2"/>
      <c r="J24" s="2"/>
      <c r="K24" s="9"/>
      <c r="L24" s="6"/>
      <c r="M24" s="2"/>
      <c r="O24" s="100"/>
      <c r="P24" s="101"/>
      <c r="Q24" s="101"/>
      <c r="R24" s="101"/>
      <c r="S24" s="101"/>
      <c r="T24" s="102"/>
    </row>
    <row r="25" spans="3:26" ht="15" thickBot="1" x14ac:dyDescent="0.4">
      <c r="C25" s="23"/>
      <c r="E25" s="2"/>
      <c r="F25" s="9"/>
      <c r="G25" s="2"/>
      <c r="J25" s="2"/>
      <c r="K25" s="9"/>
      <c r="L25" s="6"/>
      <c r="M25" s="2"/>
      <c r="O25" s="103"/>
      <c r="P25" s="104"/>
      <c r="Q25" s="104"/>
      <c r="R25" s="104"/>
      <c r="S25" s="104"/>
      <c r="T25" s="105"/>
    </row>
    <row r="26" spans="3:26" x14ac:dyDescent="0.35">
      <c r="C26" s="23"/>
      <c r="E26" s="2"/>
      <c r="F26" s="9"/>
      <c r="G26" s="2"/>
      <c r="J26" s="2"/>
      <c r="K26" s="9"/>
      <c r="L26" s="6"/>
      <c r="M26" s="2"/>
    </row>
    <row r="27" spans="3:26" x14ac:dyDescent="0.35">
      <c r="C27" s="23"/>
      <c r="E27" s="2"/>
      <c r="F27" s="9"/>
      <c r="G27" s="2"/>
      <c r="J27" s="2"/>
      <c r="K27" s="9"/>
      <c r="L27" s="6"/>
      <c r="M27" s="2"/>
    </row>
    <row r="28" spans="3:26" x14ac:dyDescent="0.35">
      <c r="C28" s="23"/>
      <c r="E28" s="2"/>
      <c r="F28" s="9"/>
      <c r="G28" s="2"/>
      <c r="J28" s="2"/>
      <c r="K28" s="9"/>
      <c r="L28" s="6"/>
      <c r="M28" s="2"/>
      <c r="Z28">
        <f>158.29+43.97</f>
        <v>202.26</v>
      </c>
    </row>
    <row r="29" spans="3:26" x14ac:dyDescent="0.35">
      <c r="C29" s="23"/>
      <c r="E29" s="2"/>
      <c r="F29" s="9"/>
      <c r="G29" s="2"/>
      <c r="J29" s="2"/>
      <c r="K29" s="9"/>
      <c r="L29" s="6"/>
      <c r="M29" s="2"/>
    </row>
    <row r="30" spans="3:26" x14ac:dyDescent="0.35">
      <c r="C30" s="23"/>
      <c r="E30" s="2"/>
      <c r="F30" s="9"/>
      <c r="G30" s="2"/>
      <c r="J30" s="2"/>
      <c r="K30" s="9"/>
      <c r="L30" s="6"/>
      <c r="M30" s="2"/>
    </row>
    <row r="31" spans="3:26" x14ac:dyDescent="0.35">
      <c r="C31" s="23"/>
      <c r="E31" s="2"/>
      <c r="F31" s="9"/>
      <c r="G31" s="2"/>
      <c r="J31" s="2"/>
      <c r="K31" s="9"/>
      <c r="L31" s="6"/>
      <c r="M31" s="2"/>
    </row>
    <row r="32" spans="3:26" x14ac:dyDescent="0.35">
      <c r="E32" s="2"/>
      <c r="F32" s="9"/>
      <c r="G32" s="2"/>
      <c r="J32" s="2"/>
      <c r="K32" s="9"/>
      <c r="L32" s="6"/>
      <c r="M32" s="2"/>
    </row>
    <row r="33" spans="3:13" x14ac:dyDescent="0.35">
      <c r="C33" s="23"/>
      <c r="E33" s="2"/>
      <c r="F33" s="9"/>
      <c r="G33" s="2"/>
      <c r="J33" s="2"/>
      <c r="K33" s="9"/>
      <c r="L33" s="6"/>
      <c r="M33" s="2"/>
    </row>
    <row r="34" spans="3:13" x14ac:dyDescent="0.35">
      <c r="C34" s="23"/>
      <c r="E34" s="2"/>
      <c r="F34" s="9"/>
      <c r="G34" s="2"/>
      <c r="J34" s="2"/>
      <c r="K34" s="9"/>
      <c r="L34" s="6"/>
      <c r="M34" s="2"/>
    </row>
    <row r="35" spans="3:13" x14ac:dyDescent="0.35">
      <c r="C35" s="23"/>
      <c r="E35" s="2"/>
      <c r="F35" s="9"/>
      <c r="G35" s="2"/>
      <c r="J35" s="2"/>
      <c r="K35" s="9"/>
      <c r="L35" s="6"/>
      <c r="M35" s="2"/>
    </row>
    <row r="36" spans="3:13" x14ac:dyDescent="0.35">
      <c r="C36" s="23"/>
      <c r="E36" s="2"/>
      <c r="F36" s="9"/>
      <c r="G36" s="2"/>
      <c r="J36" s="2"/>
      <c r="K36" s="9"/>
      <c r="L36" s="6"/>
      <c r="M36" s="2"/>
    </row>
    <row r="37" spans="3:13" x14ac:dyDescent="0.35">
      <c r="E37" s="2"/>
      <c r="F37" s="9"/>
      <c r="G37" s="2"/>
      <c r="J37" s="2"/>
      <c r="K37" s="9"/>
      <c r="L37" s="6"/>
      <c r="M37" s="2"/>
    </row>
    <row r="38" spans="3:13" x14ac:dyDescent="0.35">
      <c r="E38" s="2"/>
      <c r="F38" s="9"/>
      <c r="G38" s="2"/>
      <c r="J38" s="2"/>
      <c r="K38" s="9"/>
      <c r="L38" s="6"/>
      <c r="M38" s="2"/>
    </row>
    <row r="39" spans="3:13" x14ac:dyDescent="0.35">
      <c r="E39" s="2"/>
      <c r="F39" s="9"/>
      <c r="G39" s="2"/>
      <c r="J39" s="2"/>
      <c r="K39" s="9"/>
      <c r="L39" s="6"/>
      <c r="M39" s="2"/>
    </row>
    <row r="40" spans="3:13" x14ac:dyDescent="0.35">
      <c r="E40" s="2"/>
      <c r="F40" s="9"/>
      <c r="G40" s="2"/>
      <c r="J40" s="2"/>
      <c r="K40" s="9"/>
      <c r="L40" s="6"/>
      <c r="M40" s="2"/>
    </row>
    <row r="41" spans="3:13" x14ac:dyDescent="0.35">
      <c r="E41" s="2"/>
      <c r="F41" s="9"/>
      <c r="G41" s="2"/>
      <c r="J41" s="2"/>
      <c r="K41" s="9"/>
      <c r="L41" s="6"/>
      <c r="M41" s="2"/>
    </row>
    <row r="42" spans="3:13" x14ac:dyDescent="0.35">
      <c r="E42" s="2"/>
      <c r="F42" s="9"/>
      <c r="G42" s="2"/>
      <c r="J42" s="2"/>
      <c r="K42" s="9"/>
      <c r="L42" s="6"/>
      <c r="M42" s="2"/>
    </row>
    <row r="43" spans="3:13" x14ac:dyDescent="0.35">
      <c r="E43" s="2"/>
      <c r="F43" s="9"/>
      <c r="G43" s="2"/>
      <c r="J43" s="2"/>
      <c r="K43" s="9"/>
      <c r="L43" s="6"/>
      <c r="M43" s="2"/>
    </row>
    <row r="44" spans="3:13" x14ac:dyDescent="0.35">
      <c r="E44" s="2"/>
      <c r="F44" s="9"/>
      <c r="G44" s="2"/>
      <c r="J44" s="2"/>
      <c r="K44" s="9"/>
      <c r="L44" s="6"/>
      <c r="M44" s="2"/>
    </row>
    <row r="45" spans="3:13" ht="15" thickBot="1" x14ac:dyDescent="0.4">
      <c r="E45" s="3"/>
      <c r="F45" s="10"/>
      <c r="G45" s="3"/>
      <c r="J45" s="3"/>
      <c r="K45" s="10"/>
      <c r="L45" s="7"/>
      <c r="M45" s="3"/>
    </row>
    <row r="49" spans="7:7" x14ac:dyDescent="0.35">
      <c r="G49" s="63"/>
    </row>
  </sheetData>
  <mergeCells count="6">
    <mergeCell ref="O20:T22"/>
    <mergeCell ref="O23:T25"/>
    <mergeCell ref="E11:G11"/>
    <mergeCell ref="O12:T15"/>
    <mergeCell ref="O19:T19"/>
    <mergeCell ref="J11:M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DD3A-A518-4C27-BB69-BA9A009C7B9C}">
  <dimension ref="B1:L44"/>
  <sheetViews>
    <sheetView zoomScale="70" zoomScaleNormal="70" workbookViewId="0">
      <selection activeCell="P28" sqref="P28"/>
    </sheetView>
  </sheetViews>
  <sheetFormatPr defaultRowHeight="14.5" x14ac:dyDescent="0.35"/>
  <cols>
    <col min="2" max="2" width="17.81640625" bestFit="1" customWidth="1"/>
    <col min="3" max="3" width="24.90625" customWidth="1"/>
    <col min="5" max="5" width="13.7265625" bestFit="1" customWidth="1"/>
    <col min="6" max="6" width="7.36328125" bestFit="1" customWidth="1"/>
    <col min="7" max="7" width="16" bestFit="1" customWidth="1"/>
    <col min="10" max="10" width="21.81640625" bestFit="1" customWidth="1"/>
    <col min="11" max="11" width="7.81640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81</v>
      </c>
    </row>
    <row r="3" spans="2:12" ht="46" customHeight="1" x14ac:dyDescent="0.35">
      <c r="B3" s="27" t="s">
        <v>10</v>
      </c>
      <c r="C3" s="28" t="s">
        <v>82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196</v>
      </c>
    </row>
    <row r="7" spans="2:12" x14ac:dyDescent="0.35">
      <c r="B7" s="21" t="s">
        <v>14</v>
      </c>
      <c r="C7" s="25" t="s">
        <v>197</v>
      </c>
    </row>
    <row r="8" spans="2:12" x14ac:dyDescent="0.35">
      <c r="B8" s="21" t="s">
        <v>31</v>
      </c>
      <c r="C8" s="25" t="s">
        <v>83</v>
      </c>
    </row>
    <row r="9" spans="2:12" ht="15" thickBot="1" x14ac:dyDescent="0.4">
      <c r="B9" s="22" t="s">
        <v>32</v>
      </c>
      <c r="C9" s="26" t="s">
        <v>198</v>
      </c>
    </row>
    <row r="10" spans="2:12" ht="15" thickBot="1" x14ac:dyDescent="0.4">
      <c r="C10" s="23"/>
      <c r="E10" s="92" t="s">
        <v>15</v>
      </c>
      <c r="F10" s="93"/>
      <c r="G10" s="94"/>
      <c r="J10" s="92" t="s">
        <v>16</v>
      </c>
      <c r="K10" s="93"/>
      <c r="L10" s="94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61</v>
      </c>
      <c r="F12" s="8">
        <v>480</v>
      </c>
      <c r="G12" s="4" t="s">
        <v>60</v>
      </c>
      <c r="J12" s="4" t="s">
        <v>73</v>
      </c>
      <c r="K12" s="8">
        <v>61.6875</v>
      </c>
      <c r="L12" s="4" t="s">
        <v>8</v>
      </c>
    </row>
    <row r="13" spans="2:12" x14ac:dyDescent="0.35">
      <c r="C13" s="23"/>
      <c r="E13" s="2" t="s">
        <v>19</v>
      </c>
      <c r="F13" s="9">
        <v>422.5</v>
      </c>
      <c r="G13" s="4" t="s">
        <v>62</v>
      </c>
      <c r="J13" s="4" t="s">
        <v>66</v>
      </c>
      <c r="K13" s="9">
        <v>45</v>
      </c>
      <c r="L13" s="4" t="s">
        <v>8</v>
      </c>
    </row>
    <row r="14" spans="2:12" x14ac:dyDescent="0.35">
      <c r="C14" s="23"/>
      <c r="E14" s="2" t="s">
        <v>54</v>
      </c>
      <c r="F14" s="9">
        <v>300</v>
      </c>
      <c r="G14" s="2" t="s">
        <v>55</v>
      </c>
      <c r="J14" s="4" t="s">
        <v>76</v>
      </c>
      <c r="K14" s="9">
        <v>45</v>
      </c>
      <c r="L14" s="4" t="s">
        <v>8</v>
      </c>
    </row>
    <row r="15" spans="2:12" x14ac:dyDescent="0.35">
      <c r="C15" s="23"/>
      <c r="E15" s="2" t="s">
        <v>43</v>
      </c>
      <c r="F15" s="9">
        <v>142.5</v>
      </c>
      <c r="G15" s="2" t="s">
        <v>44</v>
      </c>
      <c r="J15" s="4" t="s">
        <v>72</v>
      </c>
      <c r="K15" s="9">
        <v>33.125</v>
      </c>
      <c r="L15" s="4" t="s">
        <v>8</v>
      </c>
    </row>
    <row r="16" spans="2:12" x14ac:dyDescent="0.35">
      <c r="C16" s="23"/>
      <c r="E16" s="2" t="s">
        <v>41</v>
      </c>
      <c r="F16" s="9">
        <v>111.25</v>
      </c>
      <c r="G16" s="2" t="s">
        <v>42</v>
      </c>
      <c r="J16" s="4" t="s">
        <v>70</v>
      </c>
      <c r="K16" s="9">
        <v>30</v>
      </c>
      <c r="L16" s="4" t="s">
        <v>8</v>
      </c>
    </row>
    <row r="17" spans="3:12" x14ac:dyDescent="0.35">
      <c r="C17" s="23"/>
      <c r="E17" s="2" t="s">
        <v>53</v>
      </c>
      <c r="F17" s="9">
        <v>18</v>
      </c>
      <c r="G17" s="2" t="s">
        <v>50</v>
      </c>
      <c r="J17" s="4" t="s">
        <v>75</v>
      </c>
      <c r="K17" s="9">
        <v>30</v>
      </c>
      <c r="L17" s="4" t="s">
        <v>8</v>
      </c>
    </row>
    <row r="18" spans="3:12" x14ac:dyDescent="0.35">
      <c r="C18" s="23"/>
      <c r="E18" s="2"/>
      <c r="F18" s="9"/>
      <c r="G18" s="2"/>
      <c r="J18" s="4" t="s">
        <v>80</v>
      </c>
      <c r="K18" s="9">
        <v>25</v>
      </c>
      <c r="L18" s="4" t="s">
        <v>8</v>
      </c>
    </row>
    <row r="19" spans="3:12" x14ac:dyDescent="0.35">
      <c r="C19" s="23"/>
      <c r="E19" s="2"/>
      <c r="F19" s="9"/>
      <c r="G19" s="2"/>
      <c r="J19" s="2" t="s">
        <v>77</v>
      </c>
      <c r="K19" s="9">
        <v>22.5</v>
      </c>
      <c r="L19" s="4" t="s">
        <v>8</v>
      </c>
    </row>
    <row r="20" spans="3:12" x14ac:dyDescent="0.35">
      <c r="C20" s="23"/>
      <c r="E20" s="2"/>
      <c r="F20" s="9"/>
      <c r="G20" s="2"/>
      <c r="J20" s="2" t="s">
        <v>78</v>
      </c>
      <c r="K20" s="9">
        <v>20.5</v>
      </c>
      <c r="L20" s="4" t="s">
        <v>8</v>
      </c>
    </row>
    <row r="21" spans="3:12" x14ac:dyDescent="0.35">
      <c r="C21" s="23"/>
      <c r="E21" s="2"/>
      <c r="F21" s="9"/>
      <c r="G21" s="2"/>
      <c r="J21" s="2" t="s">
        <v>79</v>
      </c>
      <c r="K21" s="9">
        <v>15</v>
      </c>
      <c r="L21" s="4" t="s">
        <v>8</v>
      </c>
    </row>
    <row r="22" spans="3:12" x14ac:dyDescent="0.35">
      <c r="C22" s="23"/>
      <c r="E22" s="2"/>
      <c r="F22" s="9"/>
      <c r="G22" s="2"/>
      <c r="J22" s="2" t="s">
        <v>68</v>
      </c>
      <c r="K22" s="9">
        <v>7.3125</v>
      </c>
      <c r="L22" s="4" t="s">
        <v>8</v>
      </c>
    </row>
    <row r="23" spans="3:12" x14ac:dyDescent="0.35">
      <c r="C23" s="23"/>
      <c r="E23" s="2"/>
      <c r="F23" s="9"/>
      <c r="G23" s="2"/>
      <c r="J23" s="2" t="s">
        <v>74</v>
      </c>
      <c r="K23" s="9">
        <v>7.25</v>
      </c>
      <c r="L23" s="4" t="s">
        <v>8</v>
      </c>
    </row>
    <row r="24" spans="3:12" x14ac:dyDescent="0.35">
      <c r="C24" s="23"/>
      <c r="E24" s="2"/>
      <c r="F24" s="9"/>
      <c r="G24" s="2"/>
      <c r="J24" s="2" t="s">
        <v>67</v>
      </c>
      <c r="K24" s="9">
        <v>5</v>
      </c>
      <c r="L24" s="4" t="s">
        <v>8</v>
      </c>
    </row>
    <row r="25" spans="3:12" x14ac:dyDescent="0.35">
      <c r="C25" s="23"/>
      <c r="E25" s="2"/>
      <c r="F25" s="9"/>
      <c r="G25" s="2"/>
      <c r="J25" s="2" t="s">
        <v>69</v>
      </c>
      <c r="K25" s="9">
        <v>3</v>
      </c>
      <c r="L25" s="4" t="s">
        <v>8</v>
      </c>
    </row>
    <row r="26" spans="3:12" x14ac:dyDescent="0.35">
      <c r="C26" s="23"/>
      <c r="E26" s="2"/>
      <c r="F26" s="9"/>
      <c r="G26" s="2"/>
      <c r="J26" s="2" t="s">
        <v>65</v>
      </c>
      <c r="K26" s="9">
        <v>2.5</v>
      </c>
      <c r="L26" s="4" t="s">
        <v>8</v>
      </c>
    </row>
    <row r="27" spans="3:12" x14ac:dyDescent="0.35">
      <c r="C27" s="23"/>
      <c r="E27" s="2"/>
      <c r="F27" s="9"/>
      <c r="G27" s="2"/>
      <c r="J27" s="2" t="s">
        <v>64</v>
      </c>
      <c r="K27" s="9">
        <v>2.25</v>
      </c>
      <c r="L27" s="4" t="s">
        <v>8</v>
      </c>
    </row>
    <row r="28" spans="3:12" x14ac:dyDescent="0.35">
      <c r="C28" s="23"/>
      <c r="E28" s="2"/>
      <c r="F28" s="9"/>
      <c r="G28" s="2"/>
      <c r="J28" s="2" t="s">
        <v>63</v>
      </c>
      <c r="K28" s="9">
        <v>1.4065000000000001</v>
      </c>
      <c r="L28" s="4" t="s">
        <v>8</v>
      </c>
    </row>
    <row r="29" spans="3:12" x14ac:dyDescent="0.35">
      <c r="C29" s="23"/>
      <c r="E29" s="2"/>
      <c r="F29" s="9"/>
      <c r="G29" s="2"/>
      <c r="J29" s="2" t="s">
        <v>71</v>
      </c>
      <c r="K29" s="9">
        <v>0.5</v>
      </c>
      <c r="L29" s="4" t="s">
        <v>8</v>
      </c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sortState xmlns:xlrd2="http://schemas.microsoft.com/office/spreadsheetml/2017/richdata2" ref="E12:G17">
    <sortCondition descending="1" ref="F12:F17"/>
  </sortState>
  <mergeCells count="2">
    <mergeCell ref="E10:G10"/>
    <mergeCell ref="J10:L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A4D2D-7EB7-44FE-A97D-7046CE3D43BD}">
  <dimension ref="B1:S44"/>
  <sheetViews>
    <sheetView topLeftCell="I1" workbookViewId="0">
      <selection activeCell="K22" sqref="K22"/>
    </sheetView>
  </sheetViews>
  <sheetFormatPr defaultRowHeight="14.5" x14ac:dyDescent="0.35"/>
  <cols>
    <col min="2" max="2" width="17.81640625" bestFit="1" customWidth="1"/>
    <col min="3" max="3" width="28.1796875" customWidth="1"/>
    <col min="5" max="5" width="10" bestFit="1" customWidth="1"/>
    <col min="6" max="6" width="7.81640625" bestFit="1" customWidth="1"/>
    <col min="7" max="7" width="14.453125" bestFit="1" customWidth="1"/>
    <col min="10" max="10" width="13.36328125" bestFit="1" customWidth="1"/>
    <col min="11" max="11" width="9.81640625" bestFit="1" customWidth="1"/>
    <col min="12" max="12" width="16.453125" bestFit="1" customWidth="1"/>
    <col min="14" max="14" width="10.453125" customWidth="1"/>
    <col min="16" max="16" width="14" customWidth="1"/>
  </cols>
  <sheetData>
    <row r="1" spans="2:19" ht="15" thickBot="1" x14ac:dyDescent="0.4"/>
    <row r="2" spans="2:19" x14ac:dyDescent="0.35">
      <c r="B2" s="20" t="s">
        <v>9</v>
      </c>
      <c r="C2" s="24" t="s">
        <v>85</v>
      </c>
    </row>
    <row r="3" spans="2:19" x14ac:dyDescent="0.35">
      <c r="B3" s="27" t="s">
        <v>10</v>
      </c>
      <c r="C3" s="28" t="s">
        <v>27</v>
      </c>
    </row>
    <row r="4" spans="2:19" ht="45" customHeight="1" x14ac:dyDescent="0.35">
      <c r="B4" s="21" t="s">
        <v>11</v>
      </c>
      <c r="C4" s="37" t="s">
        <v>209</v>
      </c>
    </row>
    <row r="5" spans="2:19" x14ac:dyDescent="0.35">
      <c r="B5" s="21" t="s">
        <v>12</v>
      </c>
      <c r="C5" s="25" t="s">
        <v>36</v>
      </c>
    </row>
    <row r="6" spans="2:19" x14ac:dyDescent="0.35">
      <c r="B6" s="21" t="s">
        <v>13</v>
      </c>
      <c r="C6" s="25" t="s">
        <v>144</v>
      </c>
    </row>
    <row r="7" spans="2:19" x14ac:dyDescent="0.35">
      <c r="B7" s="21" t="s">
        <v>14</v>
      </c>
      <c r="C7" s="25" t="s">
        <v>145</v>
      </c>
    </row>
    <row r="8" spans="2:19" x14ac:dyDescent="0.35">
      <c r="B8" s="21" t="s">
        <v>31</v>
      </c>
      <c r="C8" s="25" t="s">
        <v>89</v>
      </c>
    </row>
    <row r="9" spans="2:19" ht="15" thickBot="1" x14ac:dyDescent="0.4">
      <c r="B9" s="22" t="s">
        <v>32</v>
      </c>
      <c r="C9" s="26" t="s">
        <v>146</v>
      </c>
    </row>
    <row r="10" spans="2:19" ht="15" thickBot="1" x14ac:dyDescent="0.4">
      <c r="C10" s="23"/>
      <c r="E10" s="92" t="s">
        <v>15</v>
      </c>
      <c r="F10" s="93"/>
      <c r="G10" s="94"/>
      <c r="J10" s="92" t="s">
        <v>16</v>
      </c>
      <c r="K10" s="93"/>
      <c r="L10" s="94"/>
    </row>
    <row r="11" spans="2:19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9" x14ac:dyDescent="0.35">
      <c r="C12" s="23"/>
      <c r="E12" s="4" t="s">
        <v>88</v>
      </c>
      <c r="F12" s="8">
        <v>1380</v>
      </c>
      <c r="G12" s="4" t="s">
        <v>60</v>
      </c>
      <c r="J12" s="4" t="s">
        <v>86</v>
      </c>
      <c r="K12" s="8">
        <v>26.25</v>
      </c>
      <c r="L12" s="4" t="s">
        <v>8</v>
      </c>
    </row>
    <row r="13" spans="2:19" ht="14.5" customHeight="1" x14ac:dyDescent="0.35">
      <c r="C13" s="23"/>
      <c r="E13" s="2" t="s">
        <v>61</v>
      </c>
      <c r="F13" s="9">
        <v>500</v>
      </c>
      <c r="G13" s="4" t="s">
        <v>60</v>
      </c>
      <c r="J13" s="4" t="s">
        <v>87</v>
      </c>
      <c r="K13" s="9">
        <v>19.443999999999999</v>
      </c>
      <c r="L13" s="4" t="s">
        <v>8</v>
      </c>
      <c r="N13" s="95" t="s">
        <v>91</v>
      </c>
      <c r="O13" s="95"/>
      <c r="P13" s="95"/>
      <c r="Q13" s="95"/>
      <c r="R13" s="95"/>
      <c r="S13" s="95"/>
    </row>
    <row r="14" spans="2:19" x14ac:dyDescent="0.35">
      <c r="C14" s="23"/>
      <c r="E14" s="2" t="s">
        <v>19</v>
      </c>
      <c r="F14" s="9">
        <v>600</v>
      </c>
      <c r="G14" s="4" t="s">
        <v>62</v>
      </c>
      <c r="J14" s="4" t="s">
        <v>86</v>
      </c>
      <c r="K14" s="9">
        <v>226.37222</v>
      </c>
      <c r="L14" s="4" t="s">
        <v>25</v>
      </c>
      <c r="N14" s="95"/>
      <c r="O14" s="95"/>
      <c r="P14" s="95"/>
      <c r="Q14" s="95"/>
      <c r="R14" s="95"/>
      <c r="S14" s="95"/>
    </row>
    <row r="15" spans="2:19" x14ac:dyDescent="0.35">
      <c r="C15" s="23"/>
      <c r="E15" s="2"/>
      <c r="F15" s="9"/>
      <c r="G15" s="2"/>
      <c r="J15" s="4" t="s">
        <v>87</v>
      </c>
      <c r="K15" s="9">
        <v>29.405550000000002</v>
      </c>
      <c r="L15" s="4" t="s">
        <v>25</v>
      </c>
      <c r="N15" s="95"/>
      <c r="O15" s="95"/>
      <c r="P15" s="95"/>
      <c r="Q15" s="95"/>
      <c r="R15" s="95"/>
      <c r="S15" s="95"/>
    </row>
    <row r="16" spans="2:19" ht="14.5" customHeight="1" x14ac:dyDescent="0.35">
      <c r="C16" s="23"/>
      <c r="E16" s="2"/>
      <c r="F16" s="9"/>
      <c r="G16" s="2"/>
      <c r="J16" s="4" t="s">
        <v>86</v>
      </c>
      <c r="K16" s="9">
        <v>54</v>
      </c>
      <c r="L16" s="4" t="s">
        <v>90</v>
      </c>
      <c r="N16" s="95"/>
      <c r="O16" s="95"/>
      <c r="P16" s="95"/>
      <c r="Q16" s="95"/>
      <c r="R16" s="95"/>
      <c r="S16" s="95"/>
    </row>
    <row r="17" spans="3:19" ht="14.5" customHeight="1" x14ac:dyDescent="0.35">
      <c r="C17" s="23"/>
      <c r="E17" s="2"/>
      <c r="F17" s="9"/>
      <c r="G17" s="2"/>
      <c r="J17" s="4" t="s">
        <v>87</v>
      </c>
      <c r="K17" s="9">
        <v>45.15</v>
      </c>
      <c r="L17" s="4" t="s">
        <v>90</v>
      </c>
      <c r="N17" s="95" t="s">
        <v>92</v>
      </c>
      <c r="O17" s="95"/>
      <c r="P17" s="95"/>
      <c r="Q17" s="95"/>
      <c r="R17" s="95"/>
      <c r="S17" s="95"/>
    </row>
    <row r="18" spans="3:19" x14ac:dyDescent="0.35">
      <c r="C18" s="23"/>
      <c r="E18" s="2"/>
      <c r="F18" s="9"/>
      <c r="G18" s="2"/>
      <c r="J18" s="4" t="s">
        <v>86</v>
      </c>
      <c r="K18" s="9">
        <v>300</v>
      </c>
      <c r="L18" s="4" t="s">
        <v>148</v>
      </c>
      <c r="N18" s="95"/>
      <c r="O18" s="95"/>
      <c r="P18" s="95"/>
      <c r="Q18" s="95"/>
      <c r="R18" s="95"/>
      <c r="S18" s="95"/>
    </row>
    <row r="19" spans="3:19" x14ac:dyDescent="0.35">
      <c r="C19" s="23"/>
      <c r="E19" s="2"/>
      <c r="F19" s="9"/>
      <c r="G19" s="2"/>
      <c r="J19" s="2" t="s">
        <v>87</v>
      </c>
      <c r="K19" s="9">
        <v>606</v>
      </c>
      <c r="L19" s="4" t="s">
        <v>148</v>
      </c>
      <c r="N19" s="95"/>
      <c r="O19" s="95"/>
      <c r="P19" s="95"/>
      <c r="Q19" s="95"/>
      <c r="R19" s="95"/>
      <c r="S19" s="95"/>
    </row>
    <row r="20" spans="3:19" x14ac:dyDescent="0.35">
      <c r="C20" s="23"/>
      <c r="E20" s="2"/>
      <c r="F20" s="9"/>
      <c r="G20" s="2"/>
      <c r="J20" s="2" t="s">
        <v>86</v>
      </c>
      <c r="K20" s="9">
        <v>15</v>
      </c>
      <c r="L20" s="4" t="s">
        <v>173</v>
      </c>
      <c r="N20" s="95"/>
      <c r="O20" s="95"/>
      <c r="P20" s="95"/>
      <c r="Q20" s="95"/>
      <c r="R20" s="95"/>
      <c r="S20" s="95"/>
    </row>
    <row r="21" spans="3:19" x14ac:dyDescent="0.35">
      <c r="C21" s="23"/>
      <c r="E21" s="2"/>
      <c r="F21" s="9"/>
      <c r="G21" s="2"/>
      <c r="J21" s="2" t="s">
        <v>86</v>
      </c>
      <c r="K21" s="9">
        <v>72</v>
      </c>
      <c r="L21" s="4" t="s">
        <v>199</v>
      </c>
    </row>
    <row r="22" spans="3:19" x14ac:dyDescent="0.35">
      <c r="C22" s="23"/>
      <c r="E22" s="2"/>
      <c r="F22" s="9"/>
      <c r="G22" s="2"/>
      <c r="J22" s="2" t="s">
        <v>86</v>
      </c>
      <c r="K22" s="9">
        <v>146.3777</v>
      </c>
      <c r="L22" s="4" t="s">
        <v>262</v>
      </c>
      <c r="N22" s="96" t="s">
        <v>147</v>
      </c>
      <c r="O22" s="96"/>
      <c r="P22" s="96"/>
      <c r="Q22" s="96"/>
      <c r="R22" s="96"/>
      <c r="S22" s="96"/>
    </row>
    <row r="23" spans="3:19" x14ac:dyDescent="0.35">
      <c r="C23" s="23"/>
      <c r="E23" s="2"/>
      <c r="F23" s="9"/>
      <c r="G23" s="2"/>
      <c r="J23" s="2"/>
      <c r="K23" s="9"/>
      <c r="L23" s="4"/>
    </row>
    <row r="24" spans="3:19" x14ac:dyDescent="0.35">
      <c r="C24" s="23"/>
      <c r="E24" s="2"/>
      <c r="F24" s="9"/>
      <c r="G24" s="2"/>
      <c r="J24" s="2"/>
      <c r="K24" s="9"/>
      <c r="L24" s="4"/>
      <c r="N24" s="95" t="s">
        <v>263</v>
      </c>
      <c r="O24" s="95"/>
      <c r="P24" s="95"/>
      <c r="Q24" s="95"/>
      <c r="R24" s="95"/>
      <c r="S24" s="95"/>
    </row>
    <row r="25" spans="3:19" x14ac:dyDescent="0.35">
      <c r="C25" s="23"/>
      <c r="E25" s="2"/>
      <c r="F25" s="9"/>
      <c r="G25" s="2"/>
      <c r="J25" s="2"/>
      <c r="K25" s="9"/>
      <c r="L25" s="4"/>
      <c r="N25" s="95"/>
      <c r="O25" s="95"/>
      <c r="P25" s="95"/>
      <c r="Q25" s="95"/>
      <c r="R25" s="95"/>
      <c r="S25" s="95"/>
    </row>
    <row r="26" spans="3:19" x14ac:dyDescent="0.35">
      <c r="C26" s="23"/>
      <c r="E26" s="2"/>
      <c r="F26" s="9"/>
      <c r="G26" s="2"/>
      <c r="J26" s="2"/>
      <c r="K26" s="9"/>
      <c r="L26" s="4"/>
      <c r="N26" s="95"/>
      <c r="O26" s="95"/>
      <c r="P26" s="95"/>
      <c r="Q26" s="95"/>
      <c r="R26" s="95"/>
      <c r="S26" s="95"/>
    </row>
    <row r="27" spans="3:19" x14ac:dyDescent="0.35">
      <c r="C27" s="23"/>
      <c r="E27" s="2"/>
      <c r="F27" s="9"/>
      <c r="G27" s="2"/>
      <c r="J27" s="2"/>
      <c r="K27" s="9"/>
      <c r="L27" s="4"/>
      <c r="N27" s="95"/>
      <c r="O27" s="95"/>
      <c r="P27" s="95"/>
      <c r="Q27" s="95"/>
      <c r="R27" s="95"/>
      <c r="S27" s="95"/>
    </row>
    <row r="28" spans="3:19" x14ac:dyDescent="0.35">
      <c r="C28" s="23"/>
      <c r="E28" s="2"/>
      <c r="F28" s="9"/>
      <c r="G28" s="2"/>
      <c r="J28" s="2"/>
      <c r="K28" s="9"/>
      <c r="L28" s="4"/>
      <c r="N28" s="95" t="s">
        <v>150</v>
      </c>
      <c r="O28" s="95"/>
      <c r="P28" s="95"/>
      <c r="Q28" s="95"/>
      <c r="R28" s="95"/>
      <c r="S28" s="95"/>
    </row>
    <row r="29" spans="3:19" x14ac:dyDescent="0.35">
      <c r="C29" s="23"/>
      <c r="E29" s="2"/>
      <c r="F29" s="9"/>
      <c r="G29" s="2"/>
      <c r="J29" s="2"/>
      <c r="K29" s="9"/>
      <c r="L29" s="4"/>
      <c r="N29" s="95"/>
      <c r="O29" s="95"/>
      <c r="P29" s="95"/>
      <c r="Q29" s="95"/>
      <c r="R29" s="95"/>
      <c r="S29" s="95"/>
    </row>
    <row r="30" spans="3:19" x14ac:dyDescent="0.35">
      <c r="C30" s="23"/>
      <c r="E30" s="2"/>
      <c r="F30" s="9"/>
      <c r="G30" s="2"/>
      <c r="J30" s="2"/>
      <c r="K30" s="9"/>
      <c r="L30" s="2"/>
      <c r="N30" s="95"/>
      <c r="O30" s="95"/>
      <c r="P30" s="95"/>
      <c r="Q30" s="95"/>
      <c r="R30" s="95"/>
      <c r="S30" s="95"/>
    </row>
    <row r="31" spans="3:19" x14ac:dyDescent="0.35">
      <c r="C31" s="23"/>
      <c r="E31" s="2"/>
      <c r="F31" s="9"/>
      <c r="G31" s="2"/>
      <c r="J31" s="2"/>
      <c r="K31" s="9"/>
      <c r="L31" s="2"/>
      <c r="N31" s="95"/>
      <c r="O31" s="95"/>
      <c r="P31" s="95"/>
      <c r="Q31" s="95"/>
      <c r="R31" s="95"/>
      <c r="S31" s="95"/>
    </row>
    <row r="32" spans="3:19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7">
    <mergeCell ref="N28:S31"/>
    <mergeCell ref="E10:G10"/>
    <mergeCell ref="J10:L10"/>
    <mergeCell ref="N22:S22"/>
    <mergeCell ref="N24:S27"/>
    <mergeCell ref="N13:S16"/>
    <mergeCell ref="N17:S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3220-9795-4D3E-A3FB-8E6AD78BB38D}">
  <dimension ref="B1:L44"/>
  <sheetViews>
    <sheetView topLeftCell="A6" workbookViewId="0">
      <selection activeCell="F6" sqref="F6"/>
    </sheetView>
  </sheetViews>
  <sheetFormatPr defaultRowHeight="14.5" x14ac:dyDescent="0.35"/>
  <cols>
    <col min="2" max="2" width="17.81640625" bestFit="1" customWidth="1"/>
    <col min="3" max="3" width="16.36328125" bestFit="1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90</v>
      </c>
    </row>
    <row r="3" spans="2:12" x14ac:dyDescent="0.35">
      <c r="B3" s="27" t="s">
        <v>10</v>
      </c>
      <c r="C3" s="28" t="s">
        <v>27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94</v>
      </c>
    </row>
    <row r="7" spans="2:12" x14ac:dyDescent="0.35">
      <c r="B7" s="21" t="s">
        <v>14</v>
      </c>
      <c r="C7" s="25" t="s">
        <v>95</v>
      </c>
    </row>
    <row r="8" spans="2:12" x14ac:dyDescent="0.35">
      <c r="B8" s="21" t="s">
        <v>31</v>
      </c>
      <c r="C8" s="25" t="s">
        <v>96</v>
      </c>
    </row>
    <row r="9" spans="2:12" ht="15" thickBot="1" x14ac:dyDescent="0.4">
      <c r="B9" s="22" t="s">
        <v>32</v>
      </c>
      <c r="C9" s="26" t="s">
        <v>97</v>
      </c>
    </row>
    <row r="10" spans="2:12" ht="15" thickBot="1" x14ac:dyDescent="0.4">
      <c r="C10" s="23"/>
      <c r="E10" s="92" t="s">
        <v>15</v>
      </c>
      <c r="F10" s="93"/>
      <c r="G10" s="94"/>
      <c r="J10" s="92" t="s">
        <v>16</v>
      </c>
      <c r="K10" s="93"/>
      <c r="L10" s="94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53</v>
      </c>
      <c r="F12" s="8">
        <v>18</v>
      </c>
      <c r="G12" s="4" t="s">
        <v>50</v>
      </c>
      <c r="J12" s="4" t="s">
        <v>98</v>
      </c>
      <c r="K12" s="8">
        <v>1.5</v>
      </c>
      <c r="L12" s="4" t="s">
        <v>8</v>
      </c>
    </row>
    <row r="13" spans="2:12" x14ac:dyDescent="0.35">
      <c r="C13" s="23"/>
      <c r="E13" s="2" t="s">
        <v>41</v>
      </c>
      <c r="F13" s="9">
        <v>37.5</v>
      </c>
      <c r="G13" s="4" t="s">
        <v>33</v>
      </c>
      <c r="J13" s="4" t="s">
        <v>99</v>
      </c>
      <c r="K13" s="9">
        <v>1.5</v>
      </c>
      <c r="L13" s="4" t="s">
        <v>8</v>
      </c>
    </row>
    <row r="14" spans="2:12" x14ac:dyDescent="0.35">
      <c r="C14" s="23"/>
      <c r="E14" s="2" t="s">
        <v>19</v>
      </c>
      <c r="F14" s="9">
        <v>37.65</v>
      </c>
      <c r="G14" s="4" t="s">
        <v>62</v>
      </c>
      <c r="J14" s="4" t="s">
        <v>100</v>
      </c>
      <c r="K14" s="9">
        <v>2.25</v>
      </c>
      <c r="L14" s="4" t="s">
        <v>8</v>
      </c>
    </row>
    <row r="15" spans="2:12" x14ac:dyDescent="0.35">
      <c r="C15" s="23"/>
      <c r="E15" s="2" t="s">
        <v>87</v>
      </c>
      <c r="F15" s="9">
        <v>45.15</v>
      </c>
      <c r="G15" s="2" t="s">
        <v>85</v>
      </c>
      <c r="J15" s="4" t="s">
        <v>101</v>
      </c>
      <c r="K15" s="9">
        <v>3</v>
      </c>
      <c r="L15" s="4" t="s">
        <v>8</v>
      </c>
    </row>
    <row r="16" spans="2:12" x14ac:dyDescent="0.35">
      <c r="C16" s="23"/>
      <c r="E16" s="2" t="s">
        <v>86</v>
      </c>
      <c r="F16" s="9">
        <v>54</v>
      </c>
      <c r="G16" s="2" t="s">
        <v>85</v>
      </c>
      <c r="J16" s="4" t="s">
        <v>102</v>
      </c>
      <c r="K16" s="9">
        <v>6</v>
      </c>
      <c r="L16" s="4" t="s">
        <v>8</v>
      </c>
    </row>
    <row r="17" spans="3:12" x14ac:dyDescent="0.35">
      <c r="C17" s="23"/>
      <c r="E17" s="2" t="s">
        <v>43</v>
      </c>
      <c r="F17" s="9">
        <v>104.65</v>
      </c>
      <c r="G17" s="2" t="s">
        <v>85</v>
      </c>
      <c r="J17" s="4"/>
      <c r="K17" s="9"/>
      <c r="L17" s="4"/>
    </row>
    <row r="18" spans="3:12" x14ac:dyDescent="0.35">
      <c r="C18" s="23"/>
      <c r="E18" s="2"/>
      <c r="F18" s="9"/>
      <c r="G18" s="2"/>
      <c r="J18" s="4"/>
      <c r="K18" s="9"/>
      <c r="L18" s="4"/>
    </row>
    <row r="19" spans="3:12" x14ac:dyDescent="0.35">
      <c r="C19" s="23"/>
      <c r="E19" s="2"/>
      <c r="F19" s="9"/>
      <c r="G19" s="2"/>
      <c r="J19" s="2"/>
      <c r="K19" s="9"/>
      <c r="L19" s="4"/>
    </row>
    <row r="20" spans="3:12" x14ac:dyDescent="0.35">
      <c r="C20" s="23"/>
      <c r="E20" s="2"/>
      <c r="F20" s="9"/>
      <c r="G20" s="2"/>
      <c r="J20" s="2"/>
      <c r="K20" s="9"/>
      <c r="L20" s="4"/>
    </row>
    <row r="21" spans="3:12" x14ac:dyDescent="0.35">
      <c r="C21" s="23"/>
      <c r="E21" s="2"/>
      <c r="F21" s="9"/>
      <c r="G21" s="2"/>
      <c r="J21" s="2"/>
      <c r="K21" s="9"/>
      <c r="L21" s="4"/>
    </row>
    <row r="22" spans="3:12" x14ac:dyDescent="0.35">
      <c r="C22" s="23"/>
      <c r="E22" s="2"/>
      <c r="F22" s="9"/>
      <c r="G22" s="2"/>
      <c r="J22" s="2"/>
      <c r="K22" s="9"/>
      <c r="L22" s="4"/>
    </row>
    <row r="23" spans="3:12" x14ac:dyDescent="0.35">
      <c r="C23" s="23"/>
      <c r="E23" s="2"/>
      <c r="F23" s="9"/>
      <c r="G23" s="2"/>
      <c r="J23" s="2"/>
      <c r="K23" s="9"/>
      <c r="L23" s="4"/>
    </row>
    <row r="24" spans="3:12" x14ac:dyDescent="0.35">
      <c r="C24" s="23"/>
      <c r="E24" s="2"/>
      <c r="F24" s="9"/>
      <c r="G24" s="2"/>
      <c r="J24" s="2"/>
      <c r="K24" s="9"/>
      <c r="L24" s="4"/>
    </row>
    <row r="25" spans="3:12" x14ac:dyDescent="0.35">
      <c r="C25" s="23"/>
      <c r="E25" s="2"/>
      <c r="F25" s="9"/>
      <c r="G25" s="2"/>
      <c r="J25" s="2"/>
      <c r="K25" s="9"/>
      <c r="L25" s="4"/>
    </row>
    <row r="26" spans="3:12" x14ac:dyDescent="0.35">
      <c r="C26" s="23"/>
      <c r="E26" s="2"/>
      <c r="F26" s="9"/>
      <c r="G26" s="2"/>
      <c r="J26" s="2"/>
      <c r="K26" s="9"/>
      <c r="L26" s="4"/>
    </row>
    <row r="27" spans="3:12" x14ac:dyDescent="0.35">
      <c r="C27" s="23"/>
      <c r="E27" s="2"/>
      <c r="F27" s="9"/>
      <c r="G27" s="2"/>
      <c r="J27" s="2"/>
      <c r="K27" s="9"/>
      <c r="L27" s="4"/>
    </row>
    <row r="28" spans="3:12" x14ac:dyDescent="0.35">
      <c r="C28" s="23"/>
      <c r="E28" s="2"/>
      <c r="F28" s="9"/>
      <c r="G28" s="2"/>
      <c r="J28" s="2"/>
      <c r="K28" s="9"/>
      <c r="L28" s="4"/>
    </row>
    <row r="29" spans="3:12" x14ac:dyDescent="0.35">
      <c r="C29" s="23"/>
      <c r="E29" s="2"/>
      <c r="F29" s="9"/>
      <c r="G29" s="2"/>
      <c r="J29" s="2"/>
      <c r="K29" s="9"/>
      <c r="L29" s="4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Material Summary</vt:lpstr>
      <vt:lpstr>Chandra Flameworks</vt:lpstr>
      <vt:lpstr>Darksteel Forge</vt:lpstr>
      <vt:lpstr>Oran-Rief Mines</vt:lpstr>
      <vt:lpstr>Xantcha's Crucible</vt:lpstr>
      <vt:lpstr>Thran Foundry</vt:lpstr>
      <vt:lpstr>Neko's Nexus</vt:lpstr>
      <vt:lpstr>Ketria Crystals</vt:lpstr>
      <vt:lpstr>Ghirapur Gridworks</vt:lpstr>
      <vt:lpstr>The Abyssal Chains of Shandalar</vt:lpstr>
      <vt:lpstr>Kaladesh Refinery</vt:lpstr>
      <vt:lpstr>Riveteers District</vt:lpstr>
      <vt:lpstr>Phyrexian Datavault</vt:lpstr>
      <vt:lpstr>Jund Pyroclast</vt:lpstr>
      <vt:lpstr>Keldon Armory</vt:lpstr>
      <vt:lpstr>Urabrask's Refinery</vt:lpstr>
      <vt:lpstr>Obelisks of Alara </vt:lpstr>
      <vt:lpstr>Karn's Conduit</vt:lpstr>
      <vt:lpstr>Thassa's Pulse</vt:lpstr>
      <vt:lpstr>Tollarian Meltdown</vt:lpstr>
      <vt:lpstr>The Mirrodin Trigon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Casime Nicolas</dc:creator>
  <cp:lastModifiedBy>Casime Nicolas</cp:lastModifiedBy>
  <dcterms:created xsi:type="dcterms:W3CDTF">2024-10-22T08:21:00Z</dcterms:created>
  <dcterms:modified xsi:type="dcterms:W3CDTF">2025-07-27T02:37:23Z</dcterms:modified>
</cp:coreProperties>
</file>