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wmf"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Client\F$\BBVAR_e\marketing\Paquetes y Tarjetas\Privada\Préstamos Hipotecarios\Simuladores\Simuladores 2016\"/>
    </mc:Choice>
  </mc:AlternateContent>
  <bookViews>
    <workbookView tabRatio="586" windowHeight="9195" windowWidth="23040" xWindow="0" yWindow="0"/>
  </bookViews>
  <sheets>
    <sheet name="Capacidad de repago" r:id="rId1" sheetId="1"/>
    <sheet name="Fórmulas" r:id="rId2" sheetId="2"/>
  </sheets>
  <definedNames>
    <definedName hidden="1" localSheetId="0" name="_xlnm._FilterDatabase">Fórmulas!$B$20:$C$26</definedName>
  </definedNames>
  <calcPr calcId="0"/>
</workbook>
</file>

<file path=xl/calcChain.xml><?xml version="1.0" encoding="utf-8"?>
<calcChain xmlns="http://schemas.openxmlformats.org/spreadsheetml/2006/main">
  <c i="1" l="1" r="E13"/>
  <c i="2" l="1" r="C40"/>
  <c i="1" l="1" r="D70"/>
  <c i="2" l="1" r="C18"/>
  <c i="1" l="1" r="E15"/>
  <c i="1" l="1" r="E67"/>
  <c i="1" r="E62"/>
  <c i="2" r="D21"/>
  <c i="1" l="1" r="E10"/>
  <c i="1" r="F15" s="1"/>
  <c i="2" l="1" r="D22"/>
  <c i="2" r="C4"/>
  <c i="2" r="C3"/>
  <c i="2" r="C2"/>
  <c i="1" r="E66"/>
  <c i="1" r="E65"/>
  <c i="1" r="E60"/>
  <c i="1" r="E61"/>
  <c i="1" l="1" r="E57"/>
  <c i="2" r="E32"/>
  <c i="2" r="C35"/>
  <c i="2" r="C38"/>
  <c i="2" r="C36"/>
  <c i="1" r="E56"/>
  <c i="2" r="E28"/>
  <c i="2" r="E29"/>
  <c i="2" r="F29" s="1"/>
  <c i="2" r="E33"/>
  <c i="2" r="F33" s="1"/>
  <c i="2" r="D28"/>
  <c i="2" r="C29"/>
  <c i="2" r="C32"/>
  <c i="2" r="C33"/>
  <c i="2" r="C28"/>
  <c i="2" r="D29"/>
  <c i="2" r="D32"/>
  <c i="2" r="D33"/>
  <c i="2" r="D23"/>
  <c i="2" l="1" r="C37"/>
  <c i="2" r="D25"/>
  <c i="2" r="D24"/>
  <c i="2" l="1" r="H28"/>
  <c i="2" r="I28" s="1"/>
  <c i="1" r="E17" s="1"/>
  <c i="2" r="H29"/>
  <c i="2" r="I29" s="1"/>
  <c i="2" r="H32"/>
  <c i="2" r="I32" s="1"/>
  <c i="2" r="H33"/>
  <c i="2" r="I33" s="1"/>
  <c i="1" l="1" r="E14"/>
  <c i="1" r="E72"/>
  <c i="2" r="C44" s="1"/>
  <c i="1" r="E71"/>
  <c i="2" r="C43" s="1"/>
  <c i="1" r="E70"/>
  <c i="2" r="C42" s="1"/>
  <c i="1" l="1" r="E73"/>
</calcChain>
</file>

<file path=xl/comments1.xml><?xml version="1.0" encoding="utf-8"?>
<comments xmlns="http://schemas.openxmlformats.org/spreadsheetml/2006/main">
  <authors>
    <author>Daniel Fernandez</author>
  </authors>
  <commentList>
    <comment authorId="0" ref="F25" shapeId="0">
      <text>
        <r>
          <rPr>
            <u val="double"/>
            <sz val="10"/>
            <color indexed="10"/>
            <rFont val="BBVA Office Book"/>
            <family val="2"/>
          </rPr>
          <t>IMPORTANTE</t>
        </r>
        <r>
          <rPr>
            <sz val="10"/>
            <color indexed="81"/>
            <rFont val="BBVA Office Book"/>
            <family val="2"/>
          </rPr>
          <t xml:space="preserve">
Para un correcto calculo de la capacidad de repago se deberán completar todos los campos de color verde.
Las líneas correspondientes a TCs y CCs deben llenarse una por producto indicando tanto límite de crédito como pago mínimo según lo informado por el Credit Bureau, las cuotas de préstamos pueden sumarse (siempre distinguiendo entre otros bancos y BBVA).
Agrupar productos o no completar todos los campos dará como resultado un error en el cálculo del repago.
Esta herramienta es meramente orientativa siendo valida únicamente la capacidad de repago informada por el modulo de evaluación.</t>
        </r>
        <r>
          <rPr>
            <b/>
            <sz val="8"/>
            <color indexed="81"/>
            <rFont val="Tahoma"/>
            <family val="2"/>
          </rPr>
          <t xml:space="preserve">
</t>
        </r>
      </text>
    </comment>
  </commentList>
</comments>
</file>

<file path=xl/sharedStrings.xml><?xml version="1.0" encoding="utf-8"?>
<sst xmlns="http://schemas.openxmlformats.org/spreadsheetml/2006/main" count="146" uniqueCount="80">
  <si>
    <t>Condiciones del Préstamo Hipotecario</t>
  </si>
  <si>
    <t>Plazo</t>
  </si>
  <si>
    <t>Destino</t>
  </si>
  <si>
    <t>Tasa</t>
  </si>
  <si>
    <t>LC TC Otros Bancos</t>
  </si>
  <si>
    <t>Resultados</t>
  </si>
  <si>
    <t>Resultado Relaciones Técnicas</t>
  </si>
  <si>
    <t>IVA</t>
  </si>
  <si>
    <t>Tasa Variable</t>
  </si>
  <si>
    <t>Destino de la Propiedad</t>
  </si>
  <si>
    <t>LTV</t>
  </si>
  <si>
    <t>Total</t>
  </si>
  <si>
    <t>Seguro de Incendio</t>
  </si>
  <si>
    <t>Cuota a cargarse en el Modulo de Evaluación</t>
  </si>
  <si>
    <t>Otros Destinos</t>
  </si>
  <si>
    <t>Acuerdo CC Otros Bcos.</t>
  </si>
  <si>
    <t>Limites</t>
  </si>
  <si>
    <t>Acuerdos</t>
  </si>
  <si>
    <t>Veraz</t>
  </si>
  <si>
    <t>Pago mínimo</t>
  </si>
  <si>
    <t>Antigüedad Credit Bureau (años completos)</t>
  </si>
  <si>
    <t>Tasa Fija</t>
  </si>
  <si>
    <t>Con IVA</t>
  </si>
  <si>
    <t>Sin IVA</t>
  </si>
  <si>
    <t>Monto</t>
  </si>
  <si>
    <t>Cuota Pura</t>
  </si>
  <si>
    <t>Capital</t>
  </si>
  <si>
    <t>Interes</t>
  </si>
  <si>
    <t>Seguro de Vida</t>
  </si>
  <si>
    <t>Prima de tarifa</t>
  </si>
  <si>
    <t>Impuestos</t>
  </si>
  <si>
    <t>Mensual 1er. Año</t>
  </si>
  <si>
    <t>Mensual 2do. Año</t>
  </si>
  <si>
    <t>Adquisición de 1ra. vivienda</t>
  </si>
  <si>
    <t>Construcción de 1ra. vivienda</t>
  </si>
  <si>
    <t>Refacción de 1ra. vivienda</t>
  </si>
  <si>
    <t>Adquisición de 2da. vivienda</t>
  </si>
  <si>
    <t>Préstamos Hipotecarios</t>
  </si>
  <si>
    <t>Capacidad de repago</t>
  </si>
  <si>
    <t>LC TC BBVA Francés</t>
  </si>
  <si>
    <t>Acuerdo CC BBVA Francés</t>
  </si>
  <si>
    <t>Tipos de tasas</t>
  </si>
  <si>
    <t>A considerar</t>
  </si>
  <si>
    <t>Cuotas Préstamos BBVA Francés</t>
  </si>
  <si>
    <t>Cuotas Préstamos Otros Bancos</t>
  </si>
  <si>
    <t>Tasa fija</t>
  </si>
  <si>
    <t>Tasa variable o MIX</t>
  </si>
  <si>
    <t>Relación Banco (45%)</t>
  </si>
  <si>
    <t>Relación Sistema (45%)</t>
  </si>
  <si>
    <t>Relación Producto</t>
  </si>
  <si>
    <t>Relación Banco</t>
  </si>
  <si>
    <t>Relación Sistema</t>
  </si>
  <si>
    <t>Documento de exclusivo uso interno. No implica oferta ni ofrecimiento alguno. Sujeto a las condiciones de contratación, aprobación y otorgamiento por parte del departamento de crédito del BBVA Banco Francés S.A.</t>
  </si>
  <si>
    <t>Exigencia mensual ambos titulares</t>
  </si>
  <si>
    <t>Exigencia mensual BBVA</t>
  </si>
  <si>
    <t>Exigencia mensual repago BBVA</t>
  </si>
  <si>
    <t>Exigencia mensual Cradit Bureau</t>
  </si>
  <si>
    <t>Exigencia mensual Repago</t>
  </si>
  <si>
    <t>Porcentaje máximo</t>
  </si>
  <si>
    <t>Monto del préstamo</t>
  </si>
  <si>
    <t>Tipo de tasa</t>
  </si>
  <si>
    <t>Porcentaje a financiar</t>
  </si>
  <si>
    <t>Ingresos netos grupo familiar</t>
  </si>
  <si>
    <t>Cuotas de préstamos en otros bancos</t>
  </si>
  <si>
    <t>Total exigencia mensual Credit Bureau</t>
  </si>
  <si>
    <t>Total exigencia mensual productos del Banco</t>
  </si>
  <si>
    <t>Cuotas de préstamos BBVA Francés</t>
  </si>
  <si>
    <r>
      <t xml:space="preserve">Valor de la propiedad </t>
    </r>
    <r>
      <rPr>
        <sz val="9"/>
        <rFont val="BBVA Office Book"/>
        <family val="2"/>
      </rPr>
      <t>(en caso de construcción, ingresar solo el monto del proyecto)</t>
    </r>
  </si>
  <si>
    <r>
      <t xml:space="preserve">Cuota real </t>
    </r>
    <r>
      <rPr>
        <sz val="9"/>
        <rFont val="BBVA Office Book"/>
        <family val="2"/>
      </rPr>
      <t>(con seguro de incendio)</t>
    </r>
  </si>
  <si>
    <t>UVAs clientes</t>
  </si>
  <si>
    <t>UVAs empleados</t>
  </si>
  <si>
    <t>Tarjetas BBVA Francés (cargar un solo producto por línea)</t>
  </si>
  <si>
    <t>Tarjetas otros bancos (cargar un solo producto por línea)</t>
  </si>
  <si>
    <t>Acuerdos BBVA Francés (cargar un solo producto por línea)</t>
  </si>
  <si>
    <t>Acuerdos otros bancos (cargar un solo producto por línea)</t>
  </si>
  <si>
    <t>UVAs?</t>
  </si>
  <si>
    <t>Versión 2016-09-19</t>
  </si>
  <si>
    <t/>
  </si>
  <si>
    <t>101000</t>
  </si>
  <si>
    <t>RefacciÃ³n de 1ra. vivienda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</si>
</sst>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8" formatCode="&quot;$&quot;\ #,##0.00;[Red]&quot;$&quot;\ \-#,##0.00"/>
    <numFmt numFmtId="44" formatCode="_ &quot;$&quot;\ * #,##0.00_ ;_ &quot;$&quot;\ * \-#,##0.00_ ;_ &quot;$&quot;\ * &quot;-&quot;??_ ;_ @_ "/>
    <numFmt numFmtId="164" formatCode="_-* #,##0.00\ &quot;Pts&quot;_-;\-* #,##0.00\ &quot;Pts&quot;_-;_-* &quot;-&quot;??\ &quot;Pts&quot;_-;_-@_-"/>
    <numFmt numFmtId="165" formatCode="0.0%"/>
    <numFmt numFmtId="166" formatCode="0.000%"/>
    <numFmt numFmtId="167" formatCode="&quot;$&quot;\ #,##0"/>
    <numFmt numFmtId="168" formatCode="&quot;$&quot;\ #,##0.00"/>
    <numFmt numFmtId="169" formatCode="&quot;$&quot;\ #,##0.0000"/>
  </numFmts>
  <fonts count="19" x14ac:knownFonts="1">
    <font>
      <sz val="10"/>
      <name val="Arial"/>
    </font>
    <font>
      <sz val="10"/>
      <name val="Arial"/>
      <family val="2"/>
    </font>
    <font>
      <b/>
      <sz val="8"/>
      <color indexed="81"/>
      <name val="Tahoma"/>
      <family val="2"/>
    </font>
    <font>
      <sz val="11"/>
      <name val="Arial"/>
      <family val="2"/>
    </font>
    <font>
      <sz val="10"/>
      <name val="BBVA Office Light"/>
      <family val="2"/>
    </font>
    <font>
      <sz val="57"/>
      <color rgb="FF094FA4"/>
      <name val="BBVA Office Light"/>
      <family val="2"/>
    </font>
    <font>
      <sz val="35"/>
      <color rgb="FF094FA4"/>
      <name val="BBVA Office Light"/>
      <family val="2"/>
    </font>
    <font>
      <b/>
      <sz val="12"/>
      <name val="BBVA Office Light"/>
      <family val="2"/>
    </font>
    <font>
      <b/>
      <sz val="11"/>
      <name val="BBVA Office Light"/>
      <family val="2"/>
    </font>
    <font>
      <b/>
      <sz val="10"/>
      <name val="BBVA Office Light"/>
      <family val="2"/>
    </font>
    <font>
      <sz val="12"/>
      <name val="BBVA Office Book"/>
      <family val="2"/>
    </font>
    <font>
      <sz val="10"/>
      <name val="BBVA Office Book"/>
      <family val="2"/>
    </font>
    <font>
      <u val="double"/>
      <sz val="10"/>
      <color indexed="10"/>
      <name val="BBVA Office Book"/>
      <family val="2"/>
    </font>
    <font>
      <sz val="10"/>
      <color indexed="81"/>
      <name val="BBVA Office Book"/>
      <family val="2"/>
    </font>
    <font>
      <sz val="12"/>
      <color theme="0"/>
      <name val="BBVA Office Book"/>
      <family val="2"/>
    </font>
    <font>
      <sz val="10"/>
      <color theme="0"/>
      <name val="BBVA Office Book"/>
      <family val="2"/>
    </font>
    <font>
      <sz val="14"/>
      <color theme="0"/>
      <name val="BBVA Office Book"/>
      <family val="2"/>
    </font>
    <font>
      <sz val="28"/>
      <name val="BBVA Office Book"/>
      <family val="2"/>
    </font>
    <font>
      <sz val="9"/>
      <name val="BBVA Office Book"/>
      <family val="2"/>
    </font>
  </fonts>
  <fills count="10">
    <fill>
      <patternFill patternType="none"/>
    </fill>
    <fill>
      <patternFill patternType="gray125"/>
    </fill>
    <fill>
      <patternFill patternType="solid">
        <fgColor indexed="22"/>
        <bgColor indexed="64"/>
      </patternFill>
    </fill>
    <fill>
      <patternFill patternType="solid">
        <fgColor indexed="49"/>
        <bgColor indexed="64"/>
      </patternFill>
    </fill>
    <fill>
      <patternFill patternType="solid">
        <fgColor indexed="65"/>
        <bgColor indexed="64"/>
      </patternFill>
    </fill>
    <fill>
      <patternFill patternType="solid">
        <fgColor rgb="FF89D1F3"/>
        <bgColor indexed="64"/>
      </patternFill>
    </fill>
    <fill>
      <patternFill patternType="solid">
        <fgColor rgb="FFCFE9AB"/>
        <bgColor indexed="64"/>
      </patternFill>
    </fill>
    <fill>
      <patternFill patternType="solid">
        <fgColor theme="0"/>
        <bgColor indexed="64"/>
      </patternFill>
    </fill>
    <fill>
      <patternFill patternType="solid">
        <fgColor rgb="FF094FA4"/>
        <bgColor indexed="64"/>
      </patternFill>
    </fill>
    <fill>
      <patternFill patternType="solid">
        <fgColor rgb="FFDAEEC0"/>
        <bgColor indexed="64"/>
      </patternFill>
    </fill>
  </fills>
  <borders count="34">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n">
        <color indexed="64"/>
      </right>
      <top style="medium">
        <color indexed="64"/>
      </top>
      <bottom style="thin">
        <color indexed="64"/>
      </bottom>
      <diagonal/>
    </border>
  </borders>
  <cellStyleXfs count="4">
    <xf borderId="0" fillId="0" fontId="0" numFmtId="0"/>
    <xf applyAlignment="0" applyBorder="0" applyFill="0" applyFont="0" applyProtection="0" borderId="0" fillId="0" fontId="1" numFmtId="164"/>
    <xf borderId="0" fillId="0" fontId="3" numFmtId="0"/>
    <xf applyAlignment="0" applyBorder="0" applyFill="0" applyFont="0" applyProtection="0" borderId="0" fillId="0" fontId="1" numFmtId="9"/>
  </cellStyleXfs>
  <cellXfs count="151">
    <xf borderId="0" fillId="0" fontId="0" numFmtId="0" xfId="0"/>
    <xf applyFont="1" borderId="0" fillId="0" fontId="4" numFmtId="0" xfId="0"/>
    <xf applyAlignment="1" applyFont="1" applyProtection="1" borderId="0" fillId="0" fontId="5" numFmtId="0" xfId="0">
      <alignment vertical="center"/>
      <protection hidden="1"/>
    </xf>
    <xf applyAlignment="1" applyFont="1" applyProtection="1" borderId="0" fillId="0" fontId="5" numFmtId="0" xfId="0">
      <alignment horizontal="center" vertical="center"/>
      <protection hidden="1"/>
    </xf>
    <xf applyAlignment="1" applyFont="1" applyProtection="1" borderId="0" fillId="0" fontId="6" numFmtId="0" xfId="0">
      <alignment horizontal="center" vertical="center"/>
      <protection hidden="1"/>
    </xf>
    <xf applyAlignment="1" applyFont="1" applyProtection="1" borderId="0" fillId="0" fontId="5" numFmtId="0" xfId="0">
      <alignment horizontal="center" vertical="center"/>
      <protection hidden="1"/>
    </xf>
    <xf applyFont="1" applyProtection="1" borderId="0" fillId="0" fontId="4" numFmtId="0" xfId="0"/>
    <xf applyFont="1" applyNumberFormat="1" applyProtection="1" borderId="0" fillId="0" fontId="4" numFmtId="0" xfId="0"/>
    <xf applyFont="1" applyNumberFormat="1" borderId="0" fillId="0" fontId="4" numFmtId="10" xfId="3"/>
    <xf applyAlignment="1" applyFont="1" applyNumberFormat="1" applyProtection="1" borderId="0" fillId="0" fontId="7" numFmtId="0" xfId="0">
      <alignment horizontal="left" vertical="center"/>
    </xf>
    <xf applyFont="1" applyNumberFormat="1" applyProtection="1" borderId="0" fillId="0" fontId="4" numFmtId="165" xfId="3"/>
    <xf applyFont="1" applyNumberFormat="1" applyProtection="1" borderId="0" fillId="0" fontId="4" numFmtId="169" xfId="0"/>
    <xf applyAlignment="1" applyFont="1" applyNumberFormat="1" applyProtection="1" borderId="0" fillId="0" fontId="8" numFmtId="0" xfId="0">
      <alignment horizontal="left"/>
    </xf>
    <xf applyBorder="1" applyFont="1" applyProtection="1" borderId="0" fillId="0" fontId="7" numFmtId="0" xfId="0"/>
    <xf applyAlignment="1" applyBorder="1" applyFont="1" applyNumberFormat="1" applyProtection="1" borderId="0" fillId="0" fontId="7" numFmtId="0" xfId="0">
      <alignment horizontal="center"/>
      <protection locked="0"/>
    </xf>
    <xf applyBorder="1" applyFont="1" borderId="0" fillId="0" fontId="4" numFmtId="0" xfId="0"/>
    <xf applyAlignment="1" applyBorder="1" applyFill="1" applyFont="1" applyNumberFormat="1" applyProtection="1" borderId="0" fillId="0" fontId="7" numFmtId="167" xfId="0">
      <alignment horizontal="center"/>
    </xf>
    <xf applyAlignment="1" applyBorder="1" applyFill="1" applyFont="1" applyNumberFormat="1" applyProtection="1" borderId="0" fillId="0" fontId="4" numFmtId="167" xfId="0">
      <alignment horizontal="center"/>
      <protection locked="0"/>
    </xf>
    <xf applyBorder="1" applyFont="1" applyProtection="1" borderId="0" fillId="0" fontId="4" numFmtId="0" xfId="0"/>
    <xf applyBorder="1" applyFill="1" applyFont="1" applyProtection="1" borderId="13" fillId="2" fontId="9" numFmtId="0" xfId="0"/>
    <xf applyAlignment="1" applyBorder="1" applyFont="1" applyProtection="1" borderId="17" fillId="0" fontId="9" numFmtId="0" xfId="0">
      <alignment horizontal="center"/>
    </xf>
    <xf applyBorder="1" applyFill="1" applyFont="1" applyProtection="1" borderId="6" fillId="3" fontId="9" numFmtId="0" xfId="0"/>
    <xf applyAlignment="1" applyBorder="1" applyFont="1" applyNumberFormat="1" applyProtection="1" borderId="26" fillId="0" fontId="9" numFmtId="167" xfId="0">
      <alignment horizontal="center"/>
    </xf>
    <xf applyBorder="1" applyFill="1" applyFont="1" applyNumberFormat="1" applyProtection="1" borderId="29" fillId="3" fontId="9" numFmtId="9" xfId="0"/>
    <xf applyAlignment="1" applyBorder="1" applyFont="1" applyNumberFormat="1" applyProtection="1" borderId="27" fillId="0" fontId="9" numFmtId="167" xfId="0">
      <alignment horizontal="center"/>
    </xf>
    <xf applyBorder="1" applyFill="1" applyFont="1" applyProtection="1" borderId="30" fillId="3" fontId="9" numFmtId="0" xfId="0"/>
    <xf applyAlignment="1" applyBorder="1" applyFill="1" applyFont="1" applyNumberFormat="1" applyProtection="1" borderId="28" fillId="6" fontId="9" numFmtId="167" xfId="0">
      <alignment horizontal="center"/>
      <protection locked="0"/>
    </xf>
    <xf applyBorder="1" applyFill="1" applyFont="1" applyProtection="1" borderId="0" fillId="0" fontId="9" numFmtId="0" xfId="0"/>
    <xf applyAlignment="1" applyBorder="1" applyFill="1" applyFont="1" applyNumberFormat="1" applyProtection="1" borderId="0" fillId="0" fontId="9" numFmtId="167" xfId="0">
      <alignment horizontal="center"/>
      <protection locked="0"/>
    </xf>
    <xf applyAlignment="1" applyBorder="1" applyFont="1" applyProtection="1" borderId="22" fillId="0" fontId="9" numFmtId="0" xfId="0">
      <alignment horizontal="center"/>
    </xf>
    <xf applyBorder="1" applyFill="1" applyFont="1" applyProtection="1" borderId="0" fillId="0" fontId="4" numFmtId="0" xfId="0"/>
    <xf applyBorder="1" applyFill="1" applyFont="1" applyProtection="1" borderId="6" fillId="2" fontId="9" numFmtId="0" xfId="0"/>
    <xf applyBorder="1" applyFill="1" applyFont="1" applyNumberFormat="1" applyProtection="1" borderId="29" fillId="2" fontId="4" numFmtId="9" xfId="0"/>
    <xf applyBorder="1" applyFill="1" applyFont="1" applyProtection="1" borderId="30" fillId="2" fontId="4" numFmtId="0" xfId="0"/>
    <xf applyAlignment="1" applyBorder="1" applyFill="1" applyFont="1" applyNumberFormat="1" applyProtection="1" borderId="0" fillId="0" fontId="4" numFmtId="0" xfId="0">
      <alignment horizontal="center"/>
      <protection locked="0"/>
    </xf>
    <xf applyAlignment="1" applyBorder="1" applyFont="1" borderId="0" fillId="0" fontId="7" numFmtId="0" xfId="0">
      <alignment horizontal="center"/>
    </xf>
    <xf applyAlignment="1" applyBorder="1" applyFont="1" applyNumberFormat="1" borderId="0" fillId="0" fontId="7" numFmtId="8" xfId="0">
      <alignment horizontal="center"/>
    </xf>
    <xf applyAlignment="1" applyFont="1" borderId="0" fillId="0" fontId="9" numFmtId="0" xfId="0">
      <alignment wrapText="1"/>
    </xf>
    <xf applyAlignment="1" applyFont="1" applyProtection="1" borderId="0" fillId="0" fontId="6" numFmtId="0" xfId="0">
      <alignment vertical="center"/>
      <protection hidden="1"/>
    </xf>
    <xf applyAlignment="1" applyFont="1" applyProtection="1" borderId="0" fillId="0" fontId="4" numFmtId="0" xfId="0"/>
    <xf applyAlignment="1" applyFont="1" applyProtection="1" borderId="0" fillId="0" fontId="4" numFmtId="0" xfId="0">
      <alignment horizontal="right"/>
    </xf>
    <xf applyAlignment="1" applyFont="1" applyProtection="1" borderId="0" fillId="0" fontId="5" numFmtId="0" xfId="0">
      <alignment horizontal="center" vertical="center"/>
      <protection hidden="1"/>
    </xf>
    <xf applyAlignment="1" applyFont="1" borderId="0" fillId="0" fontId="11" numFmtId="0" xfId="0">
      <alignment horizontal="left"/>
    </xf>
    <xf applyAlignment="1" applyBorder="1" applyFill="1" applyFont="1" applyNumberFormat="1" applyProtection="1" borderId="1" fillId="4" fontId="10" numFmtId="10" xfId="3">
      <alignment horizontal="center" vertical="center"/>
      <protection hidden="1"/>
    </xf>
    <xf applyAlignment="1" applyBorder="1" applyFill="1" applyFont="1" applyNumberFormat="1" applyProtection="1" borderId="3" fillId="4" fontId="10" numFmtId="10" xfId="3">
      <alignment horizontal="center" vertical="center"/>
      <protection hidden="1"/>
    </xf>
    <xf applyAlignment="1" applyBorder="1" applyFill="1" applyFont="1" applyNumberFormat="1" applyProtection="1" borderId="5" fillId="4" fontId="10" numFmtId="10" xfId="3">
      <alignment horizontal="center" vertical="center"/>
      <protection hidden="1"/>
    </xf>
    <xf applyAlignment="1" applyBorder="1" applyFill="1" applyFont="1" applyProtection="1" borderId="21" fillId="0" fontId="10" numFmtId="9" xfId="3">
      <alignment horizontal="center" vertical="center"/>
      <protection hidden="1"/>
    </xf>
    <xf applyAlignment="1" applyBorder="1" applyFill="1" applyFont="1" applyProtection="1" borderId="32" fillId="5" fontId="11" numFmtId="0" xfId="0">
      <alignment horizontal="center"/>
    </xf>
    <xf applyAlignment="1" applyBorder="1" applyFill="1" applyFont="1" applyProtection="1" borderId="21" fillId="5" fontId="11" numFmtId="0" xfId="0">
      <alignment horizontal="center"/>
    </xf>
    <xf applyAlignment="1" applyBorder="1" applyFill="1" applyFont="1" applyProtection="1" borderId="6" fillId="5" fontId="11" numFmtId="0" xfId="0">
      <alignment horizontal="center"/>
    </xf>
    <xf applyAlignment="1" applyBorder="1" applyFill="1" applyFont="1" applyProtection="1" borderId="19" fillId="5" fontId="11" numFmtId="0" xfId="0">
      <alignment horizontal="center"/>
    </xf>
    <xf applyAlignment="1" applyBorder="1" applyFill="1" applyFont="1" applyNumberFormat="1" applyProtection="1" borderId="31" fillId="5" fontId="11" numFmtId="167" xfId="0">
      <alignment horizontal="center"/>
      <protection locked="0"/>
    </xf>
    <xf applyAlignment="1" applyBorder="1" applyFill="1" applyFont="1" applyProtection="1" borderId="18" fillId="5" fontId="10" numFmtId="0" xfId="0">
      <alignment vertical="center"/>
    </xf>
    <xf applyAlignment="1" applyBorder="1" applyFill="1" applyFont="1" applyProtection="1" borderId="20" fillId="5" fontId="10" numFmtId="0" xfId="0">
      <alignment vertical="center" wrapText="1"/>
    </xf>
    <xf applyAlignment="1" applyBorder="1" applyFill="1" applyFont="1" applyProtection="1" borderId="20" fillId="5" fontId="10" numFmtId="0" xfId="0">
      <alignment vertical="center"/>
    </xf>
    <xf applyAlignment="1" applyBorder="1" applyFill="1" applyFont="1" applyProtection="1" borderId="7" fillId="5" fontId="10" numFmtId="0" xfId="0">
      <alignment vertical="center"/>
    </xf>
    <xf applyAlignment="1" applyBorder="1" applyFill="1" applyFont="1" applyProtection="1" borderId="7" fillId="5" fontId="10" numFmtId="0" xfId="0">
      <alignment horizontal="left" vertical="center" wrapText="1"/>
    </xf>
    <xf applyAlignment="1" applyBorder="1" applyFill="1" applyFont="1" applyProtection="1" borderId="10" fillId="5" fontId="10" numFmtId="0" xfId="0">
      <alignment horizontal="left" vertical="center" wrapText="1"/>
    </xf>
    <xf applyAlignment="1" applyBorder="1" applyFill="1" applyFont="1" applyProtection="1" borderId="18" fillId="5" fontId="11" numFmtId="0" xfId="0">
      <alignment horizontal="left"/>
    </xf>
    <xf applyAlignment="1" applyBorder="1" applyFill="1" applyFont="1" applyProtection="1" borderId="10" fillId="5" fontId="11" numFmtId="0" xfId="0">
      <alignment horizontal="left"/>
    </xf>
    <xf applyAlignment="1" applyBorder="1" applyFill="1" applyFont="1" applyProtection="1" borderId="13" fillId="5" fontId="10" numFmtId="0" xfId="0">
      <alignment horizontal="left" vertical="center"/>
      <protection hidden="1"/>
    </xf>
    <xf applyAlignment="1" applyBorder="1" applyFill="1" applyFont="1" applyProtection="1" borderId="2" fillId="5" fontId="10" numFmtId="0" xfId="0">
      <alignment horizontal="left" vertical="center"/>
      <protection hidden="1"/>
    </xf>
    <xf applyAlignment="1" applyBorder="1" applyFill="1" applyFont="1" applyProtection="1" borderId="4" fillId="5" fontId="10" numFmtId="0" xfId="0">
      <alignment horizontal="left" vertical="center"/>
      <protection hidden="1"/>
    </xf>
    <xf applyAlignment="1" applyBorder="1" applyFill="1" applyFont="1" applyNumberFormat="1" applyProtection="1" borderId="9" fillId="0" fontId="10" numFmtId="10" xfId="3">
      <alignment horizontal="center" vertical="center"/>
      <protection hidden="1"/>
    </xf>
    <xf applyAlignment="1" applyBorder="1" applyFill="1" applyFont="1" applyNumberFormat="1" applyProtection="1" borderId="9" fillId="0" fontId="10" numFmtId="168" xfId="0">
      <alignment horizontal="center" vertical="center"/>
      <protection hidden="1"/>
    </xf>
    <xf applyAlignment="1" applyBorder="1" applyFill="1" applyFont="1" applyNumberFormat="1" applyProtection="1" borderId="12" fillId="0" fontId="10" numFmtId="10" xfId="3">
      <alignment horizontal="center" vertical="center"/>
      <protection hidden="1"/>
    </xf>
    <xf applyBorder="1" applyFill="1" applyFont="1" applyProtection="1" borderId="18" fillId="5" fontId="11" numFmtId="0" xfId="0"/>
    <xf applyAlignment="1" applyBorder="1" applyFill="1" applyFont="1" applyNumberFormat="1" applyProtection="1" borderId="19" fillId="0" fontId="10" numFmtId="167" xfId="0">
      <alignment horizontal="center"/>
      <protection hidden="1"/>
    </xf>
    <xf applyBorder="1" applyFill="1" applyFont="1" applyProtection="1" borderId="10" fillId="5" fontId="11" numFmtId="0" xfId="0"/>
    <xf applyAlignment="1" applyBorder="1" applyFill="1" applyFont="1" applyNumberFormat="1" applyProtection="1" borderId="12" fillId="0" fontId="10" numFmtId="167" xfId="0">
      <alignment horizontal="center"/>
      <protection hidden="1"/>
    </xf>
    <xf applyAlignment="1" applyBorder="1" applyFill="1" applyFont="1" applyProtection="1" borderId="18" fillId="5" fontId="11" numFmtId="0" xfId="0"/>
    <xf applyAlignment="1" applyBorder="1" applyFill="1" applyFont="1" applyProtection="1" borderId="31" fillId="5" fontId="11" numFmtId="0" xfId="0">
      <alignment vertical="center" wrapText="1"/>
    </xf>
    <xf applyAlignment="1" applyFont="1" borderId="0" fillId="0" fontId="4" numFmtId="0" xfId="0">
      <alignment horizontal="center" vertical="center"/>
    </xf>
    <xf applyAlignment="1" applyFont="1" applyNumberFormat="1" borderId="0" fillId="0" fontId="4" numFmtId="44" xfId="0">
      <alignment horizontal="center" vertical="center"/>
    </xf>
    <xf applyFill="1" applyFont="1" borderId="0" fillId="7" fontId="4" numFmtId="0" xfId="0"/>
    <xf applyAlignment="1" applyBorder="1" applyFill="1" applyFont="1" borderId="18" fillId="5" fontId="4" numFmtId="0" xfId="0">
      <alignment horizontal="left" vertical="center"/>
    </xf>
    <xf applyAlignment="1" applyBorder="1" applyFill="1" applyFont="1" applyNumberFormat="1" borderId="33" fillId="5" fontId="4" numFmtId="166" xfId="0">
      <alignment horizontal="center" vertical="center"/>
    </xf>
    <xf applyAlignment="1" applyBorder="1" applyFill="1" applyFont="1" applyNumberFormat="1" borderId="19" fillId="5" fontId="4" numFmtId="168" xfId="1">
      <alignment horizontal="center" vertical="center"/>
    </xf>
    <xf applyAlignment="1" applyBorder="1" applyFill="1" applyFont="1" borderId="7" fillId="5" fontId="4" numFmtId="0" xfId="2">
      <alignment vertical="center"/>
    </xf>
    <xf applyAlignment="1" applyBorder="1" applyFill="1" applyFont="1" borderId="8" fillId="5" fontId="4" numFmtId="0" xfId="2">
      <alignment vertical="center"/>
    </xf>
    <xf applyAlignment="1" applyBorder="1" applyFill="1" applyFont="1" applyNumberFormat="1" borderId="9" fillId="5" fontId="4" numFmtId="168" xfId="2">
      <alignment horizontal="center" vertical="center"/>
    </xf>
    <xf applyAlignment="1" applyBorder="1" applyFill="1" applyFont="1" borderId="7" fillId="5" fontId="4" numFmtId="0" xfId="0">
      <alignment horizontal="left" vertical="center"/>
    </xf>
    <xf applyAlignment="1" applyBorder="1" applyFill="1" applyFont="1" borderId="8" fillId="5" fontId="4" numFmtId="0" xfId="0">
      <alignment vertical="center"/>
    </xf>
    <xf applyAlignment="1" applyBorder="1" applyFill="1" applyFont="1" applyNumberFormat="1" borderId="9" fillId="5" fontId="4" numFmtId="168" xfId="1">
      <alignment horizontal="center" vertical="center"/>
    </xf>
    <xf applyAlignment="1" applyBorder="1" applyFill="1" applyFont="1" borderId="11" fillId="5" fontId="4" numFmtId="0" xfId="0">
      <alignment horizontal="center" vertical="center"/>
    </xf>
    <xf applyAlignment="1" applyBorder="1" applyFill="1" applyFont="1" applyNumberFormat="1" borderId="12" fillId="5" fontId="4" numFmtId="168" xfId="1">
      <alignment horizontal="center" vertical="center"/>
    </xf>
    <xf applyBorder="1" applyFill="1" applyFont="1" borderId="18" fillId="5" fontId="4" numFmtId="0" xfId="0"/>
    <xf applyAlignment="1" applyBorder="1" applyFill="1" applyFont="1" borderId="33" fillId="5" fontId="4" numFmtId="0" xfId="0">
      <alignment horizontal="center" vertical="center"/>
    </xf>
    <xf applyAlignment="1" applyBorder="1" applyFill="1" applyFont="1" borderId="19" fillId="5" fontId="4" numFmtId="0" xfId="0">
      <alignment horizontal="center" vertical="center"/>
    </xf>
    <xf applyBorder="1" applyFill="1" applyFont="1" borderId="7" fillId="5" fontId="4" numFmtId="0" xfId="0"/>
    <xf applyAlignment="1" applyBorder="1" applyFill="1" applyFont="1" applyNumberFormat="1" borderId="8" fillId="5" fontId="4" numFmtId="168" xfId="0">
      <alignment horizontal="center" vertical="center"/>
    </xf>
    <xf applyAlignment="1" applyBorder="1" applyFill="1" applyFont="1" applyNumberFormat="1" borderId="9" fillId="5" fontId="4" numFmtId="168" xfId="0">
      <alignment horizontal="center" vertical="center"/>
    </xf>
    <xf applyBorder="1" applyFill="1" applyFont="1" borderId="10" fillId="5" fontId="4" numFmtId="0" xfId="0"/>
    <xf applyAlignment="1" applyBorder="1" applyFill="1" applyFont="1" applyNumberFormat="1" borderId="11" fillId="5" fontId="4" numFmtId="168" xfId="0">
      <alignment horizontal="center" vertical="center"/>
    </xf>
    <xf applyAlignment="1" applyBorder="1" applyFill="1" applyFont="1" applyNumberFormat="1" borderId="12" fillId="5" fontId="4" numFmtId="168" xfId="0">
      <alignment horizontal="center" vertical="center"/>
    </xf>
    <xf applyAlignment="1" applyBorder="1" applyFill="1" applyFont="1" applyNumberFormat="1" applyProtection="1" borderId="23" fillId="0" fontId="11" numFmtId="168" xfId="0">
      <alignment horizontal="center" vertical="center"/>
      <protection hidden="1"/>
    </xf>
    <xf applyAlignment="1" applyBorder="1" applyFill="1" applyFont="1" applyProtection="1" borderId="14" fillId="5" fontId="10" numFmtId="0" xfId="0">
      <alignment horizontal="left" vertical="center"/>
      <protection hidden="1"/>
    </xf>
    <xf applyAlignment="1" applyBorder="1" applyFill="1" applyFont="1" applyNumberFormat="1" applyProtection="1" borderId="19" fillId="9" fontId="11" numFmtId="167" xfId="0">
      <alignment horizontal="center"/>
      <protection locked="0"/>
    </xf>
    <xf applyAlignment="1" applyBorder="1" applyFill="1" applyFont="1" applyNumberFormat="1" applyProtection="1" borderId="12" fillId="9" fontId="11" numFmtId="3" xfId="0">
      <alignment horizontal="center"/>
      <protection locked="0"/>
    </xf>
    <xf applyAlignment="1" applyBorder="1" applyFill="1" applyFont="1" applyNumberFormat="1" applyProtection="1" borderId="19" fillId="9" fontId="10" numFmtId="3" xfId="0">
      <alignment horizontal="center" vertical="center"/>
      <protection locked="0"/>
    </xf>
    <xf applyAlignment="1" applyBorder="1" applyFill="1" applyFont="1" applyNumberFormat="1" applyProtection="1" borderId="9" fillId="9" fontId="10" numFmtId="167" xfId="0">
      <alignment horizontal="center" vertical="center"/>
      <protection locked="0"/>
    </xf>
    <xf applyAlignment="1" applyBorder="1" applyFill="1" applyFont="1" applyNumberFormat="1" applyProtection="1" borderId="21" fillId="9" fontId="10" numFmtId="3" xfId="0">
      <alignment horizontal="center" vertical="center"/>
      <protection locked="0"/>
    </xf>
    <xf applyAlignment="1" applyBorder="1" applyFill="1" applyFont="1" applyNumberFormat="1" applyProtection="1" borderId="9" fillId="9" fontId="10" numFmtId="0" xfId="0">
      <alignment horizontal="center" vertical="center"/>
      <protection locked="0"/>
    </xf>
    <xf applyAlignment="1" applyBorder="1" applyFill="1" applyFont="1" applyNumberFormat="1" applyProtection="1" borderId="23" fillId="9" fontId="4" numFmtId="167" xfId="0">
      <alignment horizontal="center"/>
      <protection locked="0"/>
    </xf>
    <xf applyAlignment="1" applyBorder="1" applyFill="1" applyFont="1" applyNumberFormat="1" applyProtection="1" borderId="7" fillId="9" fontId="4" numFmtId="167" xfId="0">
      <alignment horizontal="center"/>
      <protection locked="0"/>
    </xf>
    <xf applyAlignment="1" applyBorder="1" applyFill="1" applyFont="1" applyNumberFormat="1" applyProtection="1" borderId="9" fillId="9" fontId="4" numFmtId="167" xfId="0">
      <alignment horizontal="center"/>
      <protection locked="0"/>
    </xf>
    <xf applyAlignment="1" applyBorder="1" applyFill="1" applyFont="1" applyNumberFormat="1" applyProtection="1" borderId="10" fillId="9" fontId="4" numFmtId="167" xfId="0">
      <alignment horizontal="center"/>
      <protection locked="0"/>
    </xf>
    <xf applyAlignment="1" applyBorder="1" applyFill="1" applyFont="1" applyNumberFormat="1" applyProtection="1" borderId="12" fillId="9" fontId="4" numFmtId="167" xfId="0">
      <alignment horizontal="center"/>
      <protection locked="0"/>
    </xf>
    <xf applyAlignment="1" applyBorder="1" applyFill="1" applyFont="1" applyNumberFormat="1" applyProtection="1" borderId="24" fillId="9" fontId="4" numFmtId="167" xfId="0">
      <alignment horizontal="center"/>
      <protection locked="0"/>
    </xf>
    <xf applyAlignment="1" applyBorder="1" applyFill="1" applyFont="1" applyNumberFormat="1" applyProtection="1" borderId="25" fillId="9" fontId="4" numFmtId="167" xfId="0">
      <alignment horizontal="center"/>
      <protection locked="0"/>
    </xf>
    <xf applyAlignment="1" applyBorder="1" applyFill="1" applyFont="1" applyNumberFormat="1" applyProtection="1" borderId="19" fillId="9" fontId="4" numFmtId="167" xfId="0">
      <alignment horizontal="center"/>
      <protection locked="0"/>
    </xf>
    <xf applyAlignment="1" applyFont="1" applyNumberFormat="1" applyProtection="1" borderId="0" fillId="0" fontId="10" numFmtId="0" xfId="0">
      <alignment horizontal="left"/>
    </xf>
    <xf applyAlignment="1" applyBorder="1" applyFill="1" applyFont="1" applyProtection="1" borderId="16" fillId="0" fontId="17" numFmtId="0" xfId="0">
      <alignment horizontal="center" vertical="center"/>
      <protection hidden="1"/>
    </xf>
    <xf applyAlignment="1" applyBorder="1" applyFill="1" applyFont="1" borderId="18" fillId="5" fontId="4" numFmtId="0" xfId="2">
      <alignment vertical="center"/>
    </xf>
    <xf applyAlignment="1" applyBorder="1" applyFill="1" applyFont="1" borderId="10" fillId="5" fontId="4" numFmtId="0" xfId="2">
      <alignment vertical="center"/>
    </xf>
    <xf applyAlignment="1" applyBorder="1" applyFill="1" applyFont="1" borderId="26" fillId="5" fontId="4" numFmtId="0" xfId="2">
      <alignment vertical="center"/>
    </xf>
    <xf applyAlignment="1" applyBorder="1" applyFill="1" applyFont="1" borderId="27" fillId="5" fontId="4" numFmtId="0" xfId="2">
      <alignment vertical="center"/>
    </xf>
    <xf applyAlignment="1" applyBorder="1" applyFill="1" applyFont="1" borderId="28" fillId="5" fontId="4" numFmtId="0" xfId="2">
      <alignment vertical="center"/>
    </xf>
    <xf applyAlignment="1" applyBorder="1" applyFill="1" applyFont="1" borderId="19" fillId="5" fontId="4" numFmtId="0" xfId="2">
      <alignment horizontal="center" vertical="center"/>
    </xf>
    <xf applyAlignment="1" applyBorder="1" applyFill="1" applyFont="1" borderId="9" fillId="5" fontId="4" numFmtId="0" xfId="2">
      <alignment horizontal="center" vertical="center"/>
    </xf>
    <xf applyAlignment="1" applyBorder="1" applyFill="1" applyFont="1" applyProtection="1" borderId="12" fillId="5" fontId="4" numFmtId="0" xfId="2">
      <alignment horizontal="center" vertical="center"/>
      <protection hidden="1"/>
    </xf>
    <xf applyBorder="1" applyFont="1" borderId="22" fillId="0" fontId="4" numFmtId="0" xfId="0"/>
    <xf applyAlignment="1" applyBorder="1" applyFill="1" applyFont="1" applyNumberFormat="1" borderId="9" fillId="5" fontId="4" numFmtId="10" xfId="3">
      <alignment horizontal="center" vertical="center"/>
    </xf>
    <xf applyAlignment="1" applyBorder="1" applyFill="1" applyFont="1" applyNumberFormat="1" borderId="12" fillId="5" fontId="4" numFmtId="167" xfId="2">
      <alignment horizontal="center" vertical="center"/>
    </xf>
    <xf applyAlignment="1" applyBorder="1" applyFill="1" applyFont="1" borderId="9" fillId="5" fontId="4" numFmtId="9" xfId="3">
      <alignment horizontal="center" vertical="center"/>
    </xf>
    <xf applyAlignment="1" applyBorder="1" applyFill="1" applyFont="1" applyNumberFormat="1" borderId="12" fillId="5" fontId="4" numFmtId="167" xfId="1">
      <alignment horizontal="center" vertical="center"/>
    </xf>
    <xf applyAlignment="1" applyBorder="1" applyFill="1" applyFont="1" applyNumberFormat="1" borderId="19" fillId="5" fontId="4" numFmtId="167" xfId="1">
      <alignment horizontal="center" vertical="center"/>
    </xf>
    <xf applyAlignment="1" applyBorder="1" applyFill="1" applyFont="1" applyNumberFormat="1" borderId="9" fillId="5" fontId="4" numFmtId="167" xfId="1">
      <alignment horizontal="center" vertical="center"/>
    </xf>
    <xf applyAlignment="1" applyBorder="1" applyFill="1" applyFont="1" applyNumberFormat="1" borderId="18" fillId="5" fontId="4" numFmtId="167" xfId="1">
      <alignment horizontal="left" vertical="center"/>
    </xf>
    <xf applyAlignment="1" applyBorder="1" applyFill="1" applyFont="1" applyNumberFormat="1" borderId="7" fillId="5" fontId="4" numFmtId="167" xfId="1">
      <alignment horizontal="left" vertical="center"/>
    </xf>
    <xf applyAlignment="1" applyBorder="1" applyFill="1" applyFont="1" applyNumberFormat="1" borderId="10" fillId="5" fontId="4" numFmtId="167" xfId="1">
      <alignment horizontal="left" vertical="center"/>
    </xf>
    <xf applyAlignment="1" applyBorder="1" applyFill="1" applyFont="1" borderId="10" fillId="5" fontId="4" numFmtId="0" xfId="0">
      <alignment horizontal="left" vertical="center"/>
    </xf>
    <xf applyAlignment="1" applyBorder="1" applyFill="1" applyFont="1" applyNumberFormat="1" borderId="18" fillId="5" fontId="4" numFmtId="168" xfId="1">
      <alignment horizontal="left" vertical="center"/>
    </xf>
    <xf applyAlignment="1" applyBorder="1" applyFill="1" applyFont="1" applyNumberFormat="1" borderId="7" fillId="5" fontId="4" numFmtId="168" xfId="1">
      <alignment horizontal="left" vertical="center"/>
    </xf>
    <xf applyAlignment="1" applyBorder="1" applyFill="1" applyFont="1" applyNumberFormat="1" borderId="10" fillId="5" fontId="4" numFmtId="168" xfId="1">
      <alignment horizontal="left" vertical="center"/>
    </xf>
    <xf applyAlignment="1" applyBorder="1" applyFill="1" applyFont="1" applyNumberFormat="1" borderId="31" fillId="5" fontId="4" numFmtId="168" xfId="1">
      <alignment horizontal="left" vertical="center"/>
    </xf>
    <xf applyAlignment="1" applyBorder="1" applyFill="1" applyFont="1" applyNumberFormat="1" borderId="23" fillId="5" fontId="4" numFmtId="167" xfId="1">
      <alignment horizontal="center" vertical="center"/>
    </xf>
    <xf applyAlignment="1" applyFont="1" applyProtection="1" borderId="0" fillId="0" fontId="5" numFmtId="0" xfId="0">
      <alignment horizontal="center" vertical="center"/>
      <protection hidden="1"/>
    </xf>
    <xf applyAlignment="1" applyFont="1" applyProtection="1" borderId="0" fillId="0" fontId="6" numFmtId="0" xfId="0">
      <alignment horizontal="center" vertical="center"/>
      <protection hidden="1"/>
    </xf>
    <xf applyAlignment="1" applyBorder="1" applyFill="1" applyFont="1" applyProtection="1" borderId="14" fillId="8" fontId="15" numFmtId="0" xfId="0">
      <alignment horizontal="center"/>
    </xf>
    <xf applyAlignment="1" applyBorder="1" applyFill="1" applyFont="1" applyProtection="1" borderId="16" fillId="8" fontId="15" numFmtId="0" xfId="0">
      <alignment horizontal="center"/>
    </xf>
    <xf applyAlignment="1" applyFont="1" borderId="0" fillId="0" fontId="11" numFmtId="0" xfId="0">
      <alignment horizontal="center" wrapText="1"/>
    </xf>
    <xf applyAlignment="1" applyBorder="1" applyFill="1" applyFont="1" applyProtection="1" borderId="14" fillId="8" fontId="16" numFmtId="0" xfId="0">
      <alignment horizontal="center" vertical="center"/>
    </xf>
    <xf applyAlignment="1" applyBorder="1" applyFill="1" applyFont="1" applyProtection="1" borderId="16" fillId="8" fontId="16" numFmtId="0" xfId="0">
      <alignment horizontal="center" vertical="center"/>
    </xf>
    <xf applyAlignment="1" applyBorder="1" applyFill="1" applyFont="1" applyProtection="1" borderId="14" fillId="8" fontId="14" numFmtId="0" xfId="0">
      <alignment horizontal="center" vertical="center"/>
    </xf>
    <xf applyAlignment="1" applyBorder="1" applyFill="1" applyFont="1" applyProtection="1" borderId="16" fillId="8" fontId="14" numFmtId="0" xfId="0">
      <alignment horizontal="center" vertical="center"/>
    </xf>
    <xf applyAlignment="1" applyBorder="1" applyFill="1" applyFont="1" applyProtection="1" borderId="13" fillId="8" fontId="15" numFmtId="0" xfId="0">
      <alignment horizontal="center"/>
    </xf>
    <xf applyAlignment="1" applyBorder="1" applyFill="1" applyFont="1" applyProtection="1" borderId="1" fillId="8" fontId="15" numFmtId="0" xfId="0">
      <alignment horizontal="center"/>
    </xf>
    <xf applyAlignment="1" applyBorder="1" applyFill="1" applyFont="1" borderId="14" fillId="5" fontId="4" numFmtId="0" xfId="0">
      <alignment horizontal="center" vertical="center"/>
    </xf>
    <xf applyAlignment="1" applyBorder="1" applyFill="1" applyFont="1" borderId="15" fillId="5" fontId="4" numFmtId="0" xfId="0">
      <alignment horizontal="center" vertical="center"/>
    </xf>
    <xf applyAlignment="1" applyBorder="1" applyFill="1" applyFont="1" borderId="16" fillId="5" fontId="4" numFmtId="0" xfId="0">
      <alignment horizontal="center" vertical="center"/>
    </xf>
  </cellXfs>
  <cellStyles count="4">
    <cellStyle builtinId="4" name="Moneda" xfId="1"/>
    <cellStyle builtinId="0" name="Normal" xfId="0"/>
    <cellStyle name="Normal_PH Simulador Frances (para publicar en Intranet)" xfId="2"/>
    <cellStyle builtinId="5" name="Porcentaje" xfId="3"/>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AEEC0"/>
      <color rgb="FFEDF7E0"/>
      <color rgb="FFB0DB76"/>
      <color rgb="FFBDE18C"/>
      <color rgb="FFCFE9AB"/>
      <color rgb="FF89D1F3"/>
      <color rgb="FF094FA4"/>
      <color rgb="FF52BCEC"/>
      <color rgb="FF009EE5"/>
      <color rgb="FFFED4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calcChain.xml" Type="http://schemas.openxmlformats.org/officeDocument/2006/relationships/calcChain"/>
</Relationships>

</file>

<file path=xl/theme/theme1.xml><?xml version="1.0" encoding="utf-8"?>
<a:theme xmlns:a="http://schemas.openxmlformats.org/drawingml/2006/main" name="Tema de Office">
  <a:themeElements>
    <a:clrScheme name="Azul">
      <a:dk1>
        <a:sysClr lastClr="000000" val="windowText"/>
      </a:dk1>
      <a:lt1>
        <a:sysClr lastClr="FFFFFF" val="window"/>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val="090000"/>
        </a:solidFill>
        <a:ln algn="ctr" cap="flat" cmpd="sng" w="9525">
          <a:solidFill>
            <a:srgbClr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spDef>
    <a:lnDef>
      <a:spPr bwMode="auto">
        <a:xfrm>
          <a:off x="0" y="0"/>
          <a:ext cx="1" cy="1"/>
        </a:xfrm>
        <a:custGeom>
          <a:avLst/>
          <a:gdLst/>
          <a:ahLst/>
          <a:cxnLst/>
          <a:rect b="0" l="0" r="0" t="0"/>
          <a:pathLst/>
        </a:custGeom>
        <a:solidFill>
          <a:srgbClr val="090000"/>
        </a:solidFill>
        <a:ln algn="ctr" cap="flat" cmpd="sng" w="9525">
          <a:solidFill>
            <a:srgbClr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lnDef>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pageSetUpPr fitToPage="1"/>
  </sheetPr>
  <dimension ref="A2:N143"/>
  <sheetViews>
    <sheetView showGridLines="0" tabSelected="1" topLeftCell="A55" workbookViewId="0" zoomScaleNormal="100" zoomScaleSheetLayoutView="100">
      <selection activeCell="E80" sqref="E80"/>
    </sheetView>
  </sheetViews>
  <sheetFormatPr baseColWidth="10" defaultColWidth="11.42578125" defaultRowHeight="12.75" x14ac:dyDescent="0.2"/>
  <cols>
    <col min="1" max="2" customWidth="true" style="1" width="1.85546875" collapsed="true"/>
    <col min="3" max="3" customWidth="true" style="1" width="24.42578125" collapsed="true"/>
    <col min="4" max="5" customWidth="true" style="1" width="41.7109375" collapsed="true"/>
    <col min="6" max="6" customWidth="true" style="1" width="24.42578125" collapsed="true"/>
    <col min="7" max="7" customWidth="true" style="1" width="8.5703125" collapsed="true"/>
    <col min="8" max="8" customWidth="true" style="1" width="12.7109375" collapsed="true"/>
    <col min="9" max="9" bestFit="true" customWidth="true" style="1" width="16.140625" collapsed="true"/>
    <col min="10" max="16384" style="1" width="11.42578125" collapsed="true"/>
  </cols>
  <sheetData>
    <row customHeight="1" ht="73.5" r="2" spans="1:10" x14ac:dyDescent="0.2">
      <c r="A2" s="2"/>
      <c r="B2" s="2"/>
      <c r="C2" s="137" t="s">
        <v>37</v>
      </c>
      <c r="D2" s="137"/>
      <c r="E2" s="137"/>
      <c r="F2" s="137"/>
      <c r="G2" s="2"/>
      <c r="H2" s="2"/>
      <c r="I2" s="2"/>
    </row>
    <row customHeight="1" ht="40.5" r="3" spans="1:10" x14ac:dyDescent="0.2">
      <c r="A3" s="3"/>
      <c r="B3" s="41"/>
      <c r="C3" s="138" t="s">
        <v>38</v>
      </c>
      <c r="D3" s="138"/>
      <c r="E3" s="138"/>
      <c r="F3" s="138"/>
      <c r="G3" s="38"/>
      <c r="H3" s="38"/>
      <c r="I3" s="38"/>
    </row>
    <row customHeight="1" ht="21" r="4" spans="1:10" x14ac:dyDescent="0.2">
      <c r="A4" s="5"/>
      <c r="B4" s="41"/>
      <c r="C4" s="5"/>
      <c r="D4" s="4"/>
      <c r="E4" s="4"/>
      <c r="F4" s="4"/>
      <c r="G4" s="4"/>
      <c r="H4" s="4"/>
      <c r="I4" s="4"/>
    </row>
    <row customHeight="1" ht="21" r="5" spans="1:10" thickBot="1" x14ac:dyDescent="0.25">
      <c r="A5" s="5"/>
      <c r="B5" s="41"/>
      <c r="C5" s="5"/>
      <c r="D5" s="4"/>
      <c r="E5" s="4"/>
      <c r="F5" s="4"/>
      <c r="G5" s="4"/>
      <c r="H5" s="4"/>
      <c r="I5" s="4"/>
    </row>
    <row customHeight="1" ht="15.75" r="6" spans="1:10" thickBot="1" x14ac:dyDescent="0.25">
      <c r="A6" s="6"/>
      <c r="B6" s="6"/>
      <c r="C6" s="6"/>
      <c r="D6" s="144" t="s">
        <v>0</v>
      </c>
      <c r="E6" s="145"/>
      <c r="G6" s="39"/>
      <c r="J6" s="8"/>
    </row>
    <row customHeight="1" ht="15.75" r="7" spans="1:10" x14ac:dyDescent="0.2">
      <c r="A7" s="6"/>
      <c r="B7" s="6"/>
      <c r="C7" s="6"/>
      <c r="D7" s="52" t="s">
        <v>1</v>
      </c>
      <c r="E7" s="99" t="n">
        <v>180.0</v>
      </c>
      <c r="F7" s="7"/>
      <c r="G7" s="6"/>
      <c r="H7" s="6"/>
      <c r="I7" s="6"/>
      <c r="J7" s="8"/>
    </row>
    <row customHeight="1" ht="25.5" r="8" spans="1:10" x14ac:dyDescent="0.2">
      <c r="A8" s="6"/>
      <c r="B8" s="6"/>
      <c r="C8" s="6"/>
      <c r="D8" s="53" t="s">
        <v>67</v>
      </c>
      <c r="E8" s="100" t="n">
        <v>3531713.0</v>
      </c>
      <c r="F8" s="9"/>
      <c r="G8" s="6"/>
      <c r="H8" s="6"/>
      <c r="I8" s="6"/>
      <c r="J8" s="8"/>
    </row>
    <row customHeight="1" ht="15.75" r="9" spans="1:10" x14ac:dyDescent="0.2">
      <c r="A9" s="6"/>
      <c r="B9" s="6"/>
      <c r="C9" s="6"/>
      <c r="D9" s="54" t="s">
        <v>2</v>
      </c>
      <c r="E9" s="101" t="s">
        <v>33</v>
      </c>
      <c r="F9" s="7"/>
      <c r="G9" s="6"/>
      <c r="H9" s="6"/>
      <c r="I9" s="6"/>
      <c r="J9" s="8"/>
    </row>
    <row customHeight="1" ht="15.75" r="10" spans="1:10" x14ac:dyDescent="0.2">
      <c r="A10" s="6"/>
      <c r="B10" s="6"/>
      <c r="C10" s="6"/>
      <c r="D10" s="54" t="s">
        <v>58</v>
      </c>
      <c r="E10" s="46" t="n">
        <f>VLOOKUP(E9,Fórmulas!$B$13:$C$16,2,FALSE)</f>
        <v>0.7</v>
      </c>
      <c r="F10" s="7"/>
      <c r="G10" s="6"/>
      <c r="H10" s="6"/>
      <c r="I10" s="6"/>
      <c r="J10" s="8"/>
    </row>
    <row customHeight="1" ht="15.6" r="11" spans="1:10" x14ac:dyDescent="0.2">
      <c r="A11" s="6"/>
      <c r="B11" s="6"/>
      <c r="C11" s="6"/>
      <c r="D11" s="55" t="s">
        <v>59</v>
      </c>
      <c r="E11" s="100" t="n">
        <v>2289666.0</v>
      </c>
      <c r="F11" s="111"/>
      <c r="G11" s="6"/>
      <c r="H11" s="6"/>
      <c r="I11" s="6"/>
    </row>
    <row customHeight="1" ht="15.75" r="12" spans="1:10" x14ac:dyDescent="0.2">
      <c r="A12" s="6"/>
      <c r="B12" s="6"/>
      <c r="C12" s="6"/>
      <c r="D12" s="55" t="s">
        <v>60</v>
      </c>
      <c r="E12" s="102" t="s">
        <v>69</v>
      </c>
      <c r="F12" s="7"/>
      <c r="G12" s="10"/>
      <c r="H12" s="6"/>
      <c r="I12" s="6"/>
    </row>
    <row customHeight="1" ht="15.75" r="13" spans="1:10" x14ac:dyDescent="0.2">
      <c r="A13" s="6"/>
      <c r="B13" s="6"/>
      <c r="C13" s="6"/>
      <c r="D13" s="55" t="s">
        <v>3</v>
      </c>
      <c r="E13" s="63" t="n">
        <f>IF(E12="tasa fija",35%,IF(E12="tasa variable o mix",24.5%,IF(E12="UVAs clientes",4.9%,3.9%)))</f>
        <v>0.049</v>
      </c>
      <c r="F13" s="7"/>
      <c r="G13" s="6"/>
      <c r="H13" s="6"/>
      <c r="I13" s="11"/>
    </row>
    <row customHeight="1" ht="15.75" r="14" spans="1:10" x14ac:dyDescent="0.25">
      <c r="A14" s="6"/>
      <c r="B14" s="6"/>
      <c r="C14" s="6"/>
      <c r="D14" s="56" t="s">
        <v>68</v>
      </c>
      <c r="E14" s="64" t="n">
        <f>IF(Fórmulas!C18=1,Fórmulas!I28,Fórmulas!I29)</f>
        <v>18192.836758157217</v>
      </c>
      <c r="F14" s="12"/>
      <c r="G14" s="6"/>
      <c r="H14" s="6"/>
      <c r="I14" s="6"/>
    </row>
    <row customHeight="1" ht="15.75" r="15" spans="1:10" thickBot="1" x14ac:dyDescent="0.25">
      <c r="A15" s="6"/>
      <c r="B15" s="6"/>
      <c r="C15" s="6"/>
      <c r="D15" s="57" t="s">
        <v>61</v>
      </c>
      <c r="E15" s="65" t="n">
        <f>E11/E8</f>
        <v>0.648315987171098</v>
      </c>
      <c r="F15" s="111" t="str">
        <f>IF(E15&gt;E10,"Porcentaje a financiar mayor al máximo para la línea","OK")</f>
        <v>OK</v>
      </c>
      <c r="G15" s="6"/>
    </row>
    <row customHeight="1" ht="15.75" r="16" spans="1:10" thickBot="1" x14ac:dyDescent="0.25">
      <c r="A16" s="6"/>
      <c r="B16" s="6"/>
      <c r="C16" s="6"/>
      <c r="D16" s="13"/>
      <c r="E16" s="14"/>
      <c r="F16" s="7"/>
      <c r="G16" s="6"/>
      <c r="H16" s="6"/>
      <c r="I16" s="6"/>
    </row>
    <row customHeight="1" ht="13.5" r="17" spans="1:14" thickBot="1" x14ac:dyDescent="0.25">
      <c r="A17" s="6"/>
      <c r="B17" s="6"/>
      <c r="C17" s="6"/>
      <c r="D17" s="71" t="s">
        <v>13</v>
      </c>
      <c r="E17" s="95" t="n">
        <f>IF(E9="Adquisición de 2da. Vivienda",IF(E12="Tasa Variable o MIX",Fórmulas!I33,Fórmulas!I29),IF(E12="Tasa Variable o MIX",Fórmulas!I32,Fórmulas!I28))</f>
        <v>18192.836758157217</v>
      </c>
      <c r="N17" s="15"/>
    </row>
    <row customHeight="1" ht="13.5" r="18" spans="1:14" thickBot="1" x14ac:dyDescent="0.25">
      <c r="A18" s="6"/>
      <c r="B18" s="6"/>
      <c r="C18" s="6"/>
      <c r="D18" s="6"/>
      <c r="E18" s="7"/>
      <c r="F18" s="7"/>
    </row>
    <row ht="14.25" r="19" spans="1:14" x14ac:dyDescent="0.25">
      <c r="A19" s="6"/>
      <c r="B19" s="6"/>
      <c r="C19" s="6"/>
      <c r="D19" s="70" t="s">
        <v>62</v>
      </c>
      <c r="E19" s="97" t="s">
        <v>78</v>
      </c>
    </row>
    <row ht="15" r="20" spans="1:14" thickBot="1" x14ac:dyDescent="0.3">
      <c r="A20" s="6"/>
      <c r="B20" s="6"/>
      <c r="C20" s="6"/>
      <c r="D20" s="68" t="s">
        <v>20</v>
      </c>
      <c r="E20" s="98">
        <v>13</v>
      </c>
    </row>
    <row ht="13.5" r="21" spans="1:14" thickBot="1" x14ac:dyDescent="0.25">
      <c r="A21" s="6"/>
      <c r="B21" s="6"/>
      <c r="C21" s="6"/>
      <c r="G21" s="6"/>
    </row>
    <row customHeight="1" ht="13.5" r="22" spans="1:14" thickBot="1" x14ac:dyDescent="0.3">
      <c r="A22" s="6"/>
      <c r="B22" s="6"/>
      <c r="C22" s="6"/>
      <c r="D22" s="146" t="s">
        <v>18</v>
      </c>
      <c r="E22" s="147"/>
      <c r="F22" s="16"/>
      <c r="G22" s="6"/>
    </row>
    <row customHeight="1" ht="13.5" r="23" spans="1:14" thickBot="1" x14ac:dyDescent="0.3">
      <c r="A23" s="6"/>
      <c r="B23" s="6"/>
      <c r="C23" s="6"/>
      <c r="D23" s="51" t="s">
        <v>53</v>
      </c>
      <c r="E23" s="103">
        <v>0</v>
      </c>
    </row>
    <row customHeight="1" ht="13.5" r="24" spans="1:14" thickBot="1" x14ac:dyDescent="0.25">
      <c r="A24" s="6"/>
      <c r="B24" s="6"/>
      <c r="C24" s="6"/>
    </row>
    <row customHeight="1" ht="13.5" r="25" spans="1:14" thickBot="1" x14ac:dyDescent="0.3">
      <c r="A25" s="6"/>
      <c r="B25" s="6"/>
      <c r="C25" s="6"/>
      <c r="D25" s="139" t="s">
        <v>71</v>
      </c>
      <c r="E25" s="140"/>
    </row>
    <row customHeight="1" ht="13.5" r="26" spans="1:14" x14ac:dyDescent="0.25">
      <c r="A26" s="6"/>
      <c r="B26" s="6"/>
      <c r="C26" s="6"/>
      <c r="D26" s="47" t="s">
        <v>16</v>
      </c>
      <c r="E26" s="48" t="s">
        <v>19</v>
      </c>
    </row>
    <row customHeight="1" ht="13.5" r="27" spans="1:14" x14ac:dyDescent="0.2">
      <c r="A27" s="6"/>
      <c r="B27" s="6"/>
      <c r="C27" s="6"/>
      <c r="D27" s="104">
        <v>50000</v>
      </c>
      <c r="E27" s="105">
        <v>4500</v>
      </c>
    </row>
    <row customHeight="1" ht="13.5" r="28" spans="1:14" x14ac:dyDescent="0.2">
      <c r="A28" s="6"/>
      <c r="B28" s="6"/>
      <c r="C28" s="6"/>
      <c r="D28" s="104">
        <v>10000</v>
      </c>
      <c r="E28" s="105">
        <v>200</v>
      </c>
    </row>
    <row customHeight="1" ht="13.5" r="29" spans="1:14" x14ac:dyDescent="0.2">
      <c r="A29" s="6"/>
      <c r="B29" s="6"/>
      <c r="C29" s="6"/>
      <c r="D29" s="104"/>
      <c r="E29" s="105"/>
    </row>
    <row customHeight="1" ht="13.5" r="30" spans="1:14" thickBot="1" x14ac:dyDescent="0.25">
      <c r="A30" s="6"/>
      <c r="B30" s="6"/>
      <c r="C30" s="6"/>
      <c r="D30" s="106"/>
      <c r="E30" s="107"/>
      <c r="I30" s="6"/>
    </row>
    <row customHeight="1" ht="13.5" r="31" spans="1:14" thickBot="1" x14ac:dyDescent="0.25">
      <c r="A31" s="6"/>
      <c r="B31" s="6"/>
      <c r="C31" s="6"/>
      <c r="D31" s="17"/>
      <c r="E31" s="17"/>
      <c r="I31" s="6"/>
    </row>
    <row customHeight="1" ht="13.5" r="32" spans="1:14" thickBot="1" x14ac:dyDescent="0.3">
      <c r="A32" s="6"/>
      <c r="B32" s="6"/>
      <c r="C32" s="6"/>
      <c r="D32" s="139" t="s">
        <v>72</v>
      </c>
      <c r="E32" s="140"/>
      <c r="I32" s="6"/>
    </row>
    <row customHeight="1" ht="13.5" r="33" spans="1:9" x14ac:dyDescent="0.25">
      <c r="A33" s="6"/>
      <c r="B33" s="6"/>
      <c r="C33" s="6"/>
      <c r="D33" s="47" t="s">
        <v>16</v>
      </c>
      <c r="E33" s="48" t="s">
        <v>19</v>
      </c>
      <c r="I33" s="6"/>
    </row>
    <row customHeight="1" ht="13.5" r="34" spans="1:9" x14ac:dyDescent="0.2">
      <c r="A34" s="6"/>
      <c r="B34" s="6"/>
      <c r="C34" s="6"/>
      <c r="D34" s="104">
        <v>0</v>
      </c>
      <c r="E34" s="105" t="n">
        <v>0.0</v>
      </c>
      <c r="I34" s="6"/>
    </row>
    <row customHeight="1" ht="13.5" r="35" spans="1:9" x14ac:dyDescent="0.2">
      <c r="A35" s="6"/>
      <c r="B35" s="6"/>
      <c r="C35" s="6"/>
      <c r="D35" s="104"/>
      <c r="E35" s="105"/>
      <c r="I35" s="6"/>
    </row>
    <row customHeight="1" ht="13.5" r="36" spans="1:9" x14ac:dyDescent="0.2">
      <c r="A36" s="6"/>
      <c r="B36" s="6"/>
      <c r="C36" s="6"/>
      <c r="D36" s="104"/>
      <c r="E36" s="105"/>
      <c r="I36" s="6"/>
    </row>
    <row customHeight="1" ht="13.5" r="37" spans="1:9" x14ac:dyDescent="0.2">
      <c r="A37" s="6"/>
      <c r="B37" s="6"/>
      <c r="C37" s="6"/>
      <c r="D37" s="104"/>
      <c r="E37" s="105"/>
      <c r="I37" s="6"/>
    </row>
    <row customHeight="1" ht="13.5" r="38" spans="1:9" x14ac:dyDescent="0.2">
      <c r="A38" s="6"/>
      <c r="B38" s="6"/>
      <c r="C38" s="6"/>
      <c r="D38" s="104"/>
      <c r="E38" s="105"/>
      <c r="I38" s="6"/>
    </row>
    <row customHeight="1" ht="13.5" r="39" spans="1:9" thickBot="1" x14ac:dyDescent="0.25">
      <c r="A39" s="6"/>
      <c r="B39" s="6"/>
      <c r="C39" s="6"/>
      <c r="D39" s="106"/>
      <c r="E39" s="107"/>
      <c r="I39" s="6"/>
    </row>
    <row customHeight="1" ht="13.5" r="40" spans="1:9" thickBot="1" x14ac:dyDescent="0.25">
      <c r="A40" s="6"/>
      <c r="B40" s="6"/>
      <c r="C40" s="6"/>
      <c r="D40" s="17"/>
      <c r="E40" s="17"/>
      <c r="I40" s="6"/>
    </row>
    <row customHeight="1" ht="13.5" r="41" spans="1:9" thickBot="1" x14ac:dyDescent="0.3">
      <c r="A41" s="6"/>
      <c r="B41" s="6"/>
      <c r="C41" s="6"/>
      <c r="D41" s="139" t="s">
        <v>73</v>
      </c>
      <c r="E41" s="140"/>
    </row>
    <row customHeight="1" ht="13.5" r="42" spans="1:9" x14ac:dyDescent="0.25">
      <c r="A42" s="6"/>
      <c r="B42" s="6"/>
      <c r="C42" s="6"/>
      <c r="D42" s="47" t="s">
        <v>17</v>
      </c>
      <c r="E42" s="48" t="s">
        <v>19</v>
      </c>
    </row>
    <row customHeight="1" ht="13.5" r="43" spans="1:9" x14ac:dyDescent="0.2">
      <c r="A43" s="6"/>
      <c r="B43" s="6"/>
      <c r="C43" s="6"/>
      <c r="D43" s="104">
        <v>0</v>
      </c>
      <c r="E43" s="105">
        <v>0</v>
      </c>
    </row>
    <row customHeight="1" ht="13.5" r="44" spans="1:9" thickBot="1" x14ac:dyDescent="0.25">
      <c r="A44" s="6"/>
      <c r="B44" s="6"/>
      <c r="C44" s="6"/>
      <c r="D44" s="106"/>
      <c r="E44" s="107"/>
    </row>
    <row customHeight="1" ht="13.5" r="45" spans="1:9" thickBot="1" x14ac:dyDescent="0.25">
      <c r="A45" s="6"/>
      <c r="B45" s="6"/>
      <c r="C45" s="6"/>
      <c r="D45" s="17"/>
      <c r="E45" s="17"/>
    </row>
    <row customHeight="1" ht="13.5" r="46" spans="1:9" thickBot="1" x14ac:dyDescent="0.3">
      <c r="A46" s="6"/>
      <c r="B46" s="6"/>
      <c r="C46" s="6"/>
      <c r="D46" s="139" t="s">
        <v>74</v>
      </c>
      <c r="E46" s="140"/>
    </row>
    <row customHeight="1" ht="13.5" r="47" spans="1:9" x14ac:dyDescent="0.25">
      <c r="A47" s="6"/>
      <c r="B47" s="6"/>
      <c r="C47" s="6"/>
      <c r="D47" s="49" t="s">
        <v>17</v>
      </c>
      <c r="E47" s="50" t="s">
        <v>19</v>
      </c>
    </row>
    <row customHeight="1" ht="13.5" r="48" spans="1:9" x14ac:dyDescent="0.2">
      <c r="A48" s="6"/>
      <c r="B48" s="6"/>
      <c r="C48" s="6"/>
      <c r="D48" s="104"/>
      <c r="E48" s="105"/>
    </row>
    <row customHeight="1" ht="13.5" r="49" spans="1:9" x14ac:dyDescent="0.2">
      <c r="A49" s="6"/>
      <c r="B49" s="6"/>
      <c r="C49" s="6"/>
      <c r="D49" s="108"/>
      <c r="E49" s="109"/>
    </row>
    <row customHeight="1" ht="13.5" r="50" spans="1:9" x14ac:dyDescent="0.2">
      <c r="A50" s="6"/>
      <c r="B50" s="6"/>
      <c r="C50" s="6"/>
      <c r="D50" s="104"/>
      <c r="E50" s="105"/>
    </row>
    <row customHeight="1" ht="13.15" r="51" spans="1:9" thickBot="1" x14ac:dyDescent="0.25">
      <c r="A51" s="6"/>
      <c r="B51" s="6"/>
      <c r="C51" s="6"/>
      <c r="D51" s="106"/>
      <c r="E51" s="107"/>
    </row>
    <row customHeight="1" ht="13.5" r="52" spans="1:9" thickBot="1" x14ac:dyDescent="0.25">
      <c r="A52" s="6"/>
      <c r="B52" s="6"/>
      <c r="C52" s="6"/>
      <c r="D52" s="17"/>
      <c r="E52" s="17"/>
    </row>
    <row customHeight="1" ht="13.5" r="53" spans="1:9" x14ac:dyDescent="0.25">
      <c r="A53" s="6"/>
      <c r="B53" s="6"/>
      <c r="C53" s="6"/>
      <c r="D53" s="58" t="s">
        <v>66</v>
      </c>
      <c r="E53" s="110">
        <v>500</v>
      </c>
    </row>
    <row customHeight="1" ht="13.5" r="54" spans="1:9" thickBot="1" x14ac:dyDescent="0.3">
      <c r="A54" s="6"/>
      <c r="B54" s="6"/>
      <c r="C54" s="6"/>
      <c r="D54" s="59" t="s">
        <v>63</v>
      </c>
      <c r="E54" s="107" t="n">
        <v>0.0</v>
      </c>
    </row>
    <row ht="15" r="55" spans="1:9" thickBot="1" x14ac:dyDescent="0.3">
      <c r="A55" s="6"/>
      <c r="B55" s="6"/>
      <c r="C55" s="6"/>
      <c r="D55" s="42"/>
    </row>
    <row ht="15.75" r="56" spans="1:9" x14ac:dyDescent="0.25">
      <c r="A56" s="6"/>
      <c r="B56" s="6"/>
      <c r="C56" s="6"/>
      <c r="D56" s="66" t="s">
        <v>64</v>
      </c>
      <c r="E56" s="67" t="n">
        <f>MAX(SUM(E60:E61,E65:E66,E54,E53),E23)</f>
        <v>5300.0</v>
      </c>
      <c r="G56" s="6"/>
      <c r="H56" s="6"/>
      <c r="I56" s="6"/>
    </row>
    <row ht="16.5" r="57" spans="1:9" thickBot="1" x14ac:dyDescent="0.3">
      <c r="A57" s="6"/>
      <c r="B57" s="6"/>
      <c r="C57" s="6"/>
      <c r="D57" s="68" t="s">
        <v>65</v>
      </c>
      <c r="E57" s="69" t="n">
        <f>SUM(E60:E61,E53)</f>
        <v>5300.0</v>
      </c>
      <c r="G57" s="6"/>
      <c r="H57" s="6"/>
      <c r="I57" s="6"/>
    </row>
    <row ht="13.5" r="58" spans="1:9" thickBot="1" x14ac:dyDescent="0.25">
      <c r="A58" s="6"/>
      <c r="B58" s="6"/>
      <c r="C58" s="6"/>
      <c r="D58" s="6"/>
      <c r="E58" s="6"/>
      <c r="G58" s="18"/>
      <c r="H58" s="6"/>
      <c r="I58" s="6"/>
    </row>
    <row hidden="1" ht="15" r="59" spans="1:9" thickBot="1" x14ac:dyDescent="0.3">
      <c r="A59" s="6"/>
      <c r="B59" s="6"/>
      <c r="C59" s="6"/>
      <c r="D59" s="19"/>
      <c r="E59" s="20" t="s">
        <v>42</v>
      </c>
      <c r="G59" s="18"/>
      <c r="H59" s="6"/>
      <c r="I59" s="6"/>
    </row>
    <row hidden="1" ht="14.25" r="60" spans="1:9" x14ac:dyDescent="0.25">
      <c r="A60" s="6"/>
      <c r="B60" s="6"/>
      <c r="C60" s="6"/>
      <c r="D60" s="21" t="s">
        <v>39</v>
      </c>
      <c r="E60" s="22" t="n">
        <f>SUM(MAX(D27*3%,E27),MAX(D28*3%,E28),MAX(D29*3%,E29),MAX(D30*3%,E30))</f>
        <v>4800.0</v>
      </c>
      <c r="G60" s="18"/>
      <c r="H60" s="18"/>
      <c r="I60" s="6"/>
    </row>
    <row hidden="1" ht="14.25" r="61" spans="1:9" x14ac:dyDescent="0.25">
      <c r="A61" s="6"/>
      <c r="B61" s="6"/>
      <c r="C61" s="6"/>
      <c r="D61" s="23" t="s">
        <v>40</v>
      </c>
      <c r="E61" s="24" t="n">
        <f>SUM(MAX(D43*3%,E43),MAX(D44*3%,E44))</f>
        <v>0.0</v>
      </c>
      <c r="G61" s="18"/>
      <c r="H61" s="18"/>
      <c r="I61" s="6"/>
    </row>
    <row hidden="1" ht="15" r="62" spans="1:9" thickBot="1" x14ac:dyDescent="0.3">
      <c r="A62" s="6"/>
      <c r="B62" s="6"/>
      <c r="C62" s="6"/>
      <c r="D62" s="25" t="s">
        <v>43</v>
      </c>
      <c r="E62" s="26" t="n">
        <f>E53</f>
        <v>500.0</v>
      </c>
      <c r="G62" s="18"/>
      <c r="H62" s="18"/>
      <c r="I62" s="6"/>
    </row>
    <row hidden="1" ht="15" r="63" spans="1:9" thickBot="1" x14ac:dyDescent="0.3">
      <c r="A63" s="6"/>
      <c r="B63" s="6"/>
      <c r="C63" s="6"/>
      <c r="D63" s="27"/>
      <c r="E63" s="28"/>
      <c r="G63" s="18"/>
      <c r="H63" s="6"/>
      <c r="I63" s="6"/>
    </row>
    <row hidden="1" ht="15" r="64" spans="1:9" thickBot="1" x14ac:dyDescent="0.3">
      <c r="A64" s="6"/>
      <c r="B64" s="6"/>
      <c r="C64" s="6"/>
      <c r="D64" s="19"/>
      <c r="E64" s="29" t="s">
        <v>42</v>
      </c>
      <c r="G64" s="18"/>
      <c r="H64" s="30"/>
      <c r="I64" s="30"/>
    </row>
    <row customHeight="1" hidden="1" ht="12.75" r="65" spans="1:9" x14ac:dyDescent="0.25">
      <c r="A65" s="6"/>
      <c r="B65" s="6"/>
      <c r="C65" s="6"/>
      <c r="D65" s="31" t="s">
        <v>4</v>
      </c>
      <c r="E65" s="22" t="n">
        <f>SUM(MAX(D34*3%,E34),MAX(D35*3%,E35),MAX(D36*3%,E36),MAX(D37*3%,E37),MAX(D38*3%,E38),MAX(D39*3%,E39))</f>
        <v>0.0</v>
      </c>
      <c r="G65" s="6"/>
      <c r="H65" s="6"/>
      <c r="I65" s="6"/>
    </row>
    <row hidden="1" ht="14.25" r="66" spans="1:9" x14ac:dyDescent="0.25">
      <c r="A66" s="6"/>
      <c r="B66" s="6"/>
      <c r="C66" s="6"/>
      <c r="D66" s="32" t="s">
        <v>15</v>
      </c>
      <c r="E66" s="24" t="n">
        <f>SUM(MAX(D48*10%,E48),MAX(D49*10%,E49),MAX(D50*10%,E50),MAX(D51*10%,E51))</f>
        <v>0.0</v>
      </c>
      <c r="G66" s="6"/>
      <c r="H66" s="6"/>
      <c r="I66" s="6"/>
    </row>
    <row hidden="1" ht="15" r="67" spans="1:9" thickBot="1" x14ac:dyDescent="0.3">
      <c r="A67" s="6"/>
      <c r="B67" s="6"/>
      <c r="C67" s="6"/>
      <c r="D67" s="33" t="s">
        <v>44</v>
      </c>
      <c r="E67" s="26" t="n">
        <f>E54</f>
        <v>0.0</v>
      </c>
      <c r="G67" s="6"/>
      <c r="H67" s="6"/>
      <c r="I67" s="6"/>
    </row>
    <row customHeight="1" ht="0.6" r="68" spans="1:9" thickBot="1" x14ac:dyDescent="0.25">
      <c r="A68" s="6"/>
      <c r="B68" s="6"/>
      <c r="C68" s="6"/>
      <c r="D68" s="30"/>
      <c r="E68" s="34"/>
      <c r="G68" s="6"/>
      <c r="H68" s="6"/>
      <c r="I68" s="6"/>
    </row>
    <row ht="18.75" r="69" spans="1:9" thickBot="1" x14ac:dyDescent="0.25">
      <c r="D69" s="142" t="s">
        <v>5</v>
      </c>
      <c r="E69" s="143"/>
    </row>
    <row customHeight="1" ht="15.6" r="70" spans="1:9" x14ac:dyDescent="0.2">
      <c r="D70" s="60" t="str">
        <f>IF(E12="UVAs clientes","Relación Producto (25%)",IF(E12="UVAs empleados","Relación Producto (25%)","Relación Producto (30%)"))</f>
        <v>Relación Producto (25%)</v>
      </c>
      <c r="E70" s="43" t="n">
        <f>E17/E19</f>
        <v>0.18012709661541798</v>
      </c>
    </row>
    <row customHeight="1" ht="15.6" r="71" spans="1:9" x14ac:dyDescent="0.2">
      <c r="D71" s="61" t="s">
        <v>47</v>
      </c>
      <c r="E71" s="44" t="n">
        <f>(E17+E60+E61+E62)/E19</f>
        <v>0.23260234414017045</v>
      </c>
    </row>
    <row customHeight="1" ht="15.6" r="72" spans="1:9" thickBot="1" x14ac:dyDescent="0.25">
      <c r="D72" s="62" t="s">
        <v>48</v>
      </c>
      <c r="E72" s="45" t="n">
        <f>($E$17+IF($E$20&gt;=2,Fórmulas!$C$37,MAX(Fórmulas!$C$37:$C$38)))/($E$19)</f>
        <v>0.23260234414017045</v>
      </c>
    </row>
    <row customHeight="1" ht="37.15" r="73" spans="1:9" thickBot="1" x14ac:dyDescent="0.25">
      <c r="D73" s="96" t="s">
        <v>6</v>
      </c>
      <c r="E73" s="112" t="str">
        <f>IF(COUNTIF(Fórmulas!C42:C44,"Aprobar")=3,"APROBADO","RECHAZADO")</f>
        <v>APROBADO</v>
      </c>
    </row>
    <row customHeight="1" ht="12.75" r="75" spans="1:9" x14ac:dyDescent="0.25">
      <c r="D75" s="141" t="s">
        <v>52</v>
      </c>
      <c r="E75" s="141"/>
      <c r="F75" s="37"/>
      <c r="G75" s="37"/>
      <c r="H75" s="37"/>
      <c r="I75" s="37"/>
    </row>
    <row customHeight="1" ht="12.75" r="76" spans="1:9" x14ac:dyDescent="0.25">
      <c r="D76" s="141"/>
      <c r="E76" s="141"/>
      <c r="F76" s="37"/>
      <c r="G76" s="37"/>
      <c r="H76" s="37"/>
      <c r="I76" s="37"/>
    </row>
    <row r="77" spans="1:9" x14ac:dyDescent="0.2">
      <c r="D77" s="141"/>
      <c r="E77" s="141"/>
    </row>
    <row r="80" spans="1:9" x14ac:dyDescent="0.2">
      <c r="E80" s="40" t="s">
        <v>76</v>
      </c>
    </row>
    <row customHeight="1" ht="15.75" r="132" spans="3:3" x14ac:dyDescent="0.2"/>
    <row customHeight="1" ht="15.75" r="133" spans="3:3" x14ac:dyDescent="0.2"/>
    <row customHeight="1" ht="15.75" r="134" spans="3:3" x14ac:dyDescent="0.2"/>
    <row customHeight="1" ht="15.75" r="135" spans="3:3" x14ac:dyDescent="0.2"/>
    <row customHeight="1" ht="15.75" r="136" spans="3:3" x14ac:dyDescent="0.2"/>
    <row customHeight="1" ht="15.75" r="137" spans="3:3" x14ac:dyDescent="0.2">
      <c r="C137" s="35"/>
    </row>
    <row customHeight="1" ht="15.75" r="138" spans="3:3" x14ac:dyDescent="0.2">
      <c r="C138" s="36"/>
    </row>
    <row customHeight="1" ht="15.75" r="139" spans="3:3" x14ac:dyDescent="0.2"/>
    <row customHeight="1" ht="15.75" r="140" spans="3:3" x14ac:dyDescent="0.2"/>
    <row customHeight="1" ht="15.75" r="141" spans="3:3" x14ac:dyDescent="0.2"/>
    <row customHeight="1" ht="15.75" r="142" spans="3:3" x14ac:dyDescent="0.2"/>
    <row customHeight="1" ht="15.75" r="143" spans="3:3" x14ac:dyDescent="0.2"/>
  </sheetData>
  <dataConsolidate/>
  <mergeCells count="10">
    <mergeCell ref="C2:F2"/>
    <mergeCell ref="C3:F3"/>
    <mergeCell ref="D32:E32"/>
    <mergeCell ref="D41:E41"/>
    <mergeCell ref="D75:E77"/>
    <mergeCell ref="D69:E69"/>
    <mergeCell ref="D6:E6"/>
    <mergeCell ref="D46:E46"/>
    <mergeCell ref="D25:E25"/>
    <mergeCell ref="D22:E22"/>
  </mergeCells>
  <phoneticPr fontId="0" type="noConversion"/>
  <printOptions horizontalCentered="1" verticalCentered="1"/>
  <pageMargins bottom="0.47244094488188981" footer="0" header="0" left="0.15748031496062992" right="0.15748031496062992" top="0.43307086614173229"/>
  <pageSetup horizontalDpi="4294967292" orientation="portrait" paperSize="9" r:id="rId1" scale="74" verticalDpi="300"/>
  <headerFooter alignWithMargins="0"/>
  <legacyDrawing r:id="rId2"/>
  <extLst>
    <ext uri="{CCE6A557-97BC-4b89-ADB6-D9C93CAAB3DF}">
      <x14:dataValidations xmlns:xm="http://schemas.microsoft.com/office/excel/2006/main" count="2">
        <x14:dataValidation allowBlank="1" showErrorMessage="1" showInputMessage="1" type="list">
          <x14:formula1>
            <xm:f>Fórmulas!$B$13:$B$16</xm:f>
          </x14:formula1>
          <xm:sqref>E9</xm:sqref>
        </x14:dataValidation>
        <x14:dataValidation allowBlank="1" showErrorMessage="1" showInputMessage="1" type="list">
          <x14:formula1>
            <xm:f>Fórmulas!$B$7:$B$10</xm:f>
          </x14:formula1>
          <xm:sqref>E12</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B1:I44"/>
  <sheetViews>
    <sheetView showGridLines="0" topLeftCell="A22" workbookViewId="0" zoomScale="98" zoomScaleNormal="98">
      <selection activeCell="C42" sqref="C42"/>
    </sheetView>
  </sheetViews>
  <sheetFormatPr baseColWidth="10" defaultColWidth="11.5703125" defaultRowHeight="12.75" x14ac:dyDescent="0.2"/>
  <cols>
    <col min="1" max="1" style="1" width="11.5703125" collapsed="true"/>
    <col min="2" max="2" bestFit="true" customWidth="true" style="1" width="27.28515625" collapsed="true"/>
    <col min="3" max="3" bestFit="true" customWidth="true" style="1" width="11.7109375" collapsed="true"/>
    <col min="4" max="4" bestFit="true" customWidth="true" style="1" width="10.7109375" collapsed="true"/>
    <col min="5" max="6" bestFit="true" customWidth="true" style="1" width="11.7109375" collapsed="true"/>
    <col min="7" max="7" bestFit="true" customWidth="true" style="1" width="13.28515625" collapsed="true"/>
    <col min="8" max="8" bestFit="true" customWidth="true" style="1" width="16.7109375" collapsed="true"/>
    <col min="9" max="9" bestFit="true" customWidth="true" style="1" width="11.7109375" collapsed="true"/>
    <col min="10" max="10" bestFit="true" customWidth="true" style="1" width="6.28515625" collapsed="true"/>
    <col min="11" max="11" bestFit="true" customWidth="true" style="1" width="13.5703125" collapsed="true"/>
    <col min="12" max="16384" style="1" width="11.5703125" collapsed="true"/>
  </cols>
  <sheetData>
    <row ht="13.5" r="1" spans="2:7" thickBot="1" x14ac:dyDescent="0.25"/>
    <row r="2" spans="2:7" x14ac:dyDescent="0.2">
      <c r="B2" s="113" t="s">
        <v>1</v>
      </c>
      <c r="C2" s="118" t="n">
        <f>'Capacidad de repago'!E7</f>
        <v>180.0</v>
      </c>
    </row>
    <row r="3" spans="2:7" x14ac:dyDescent="0.2">
      <c r="B3" s="78" t="s">
        <v>3</v>
      </c>
      <c r="C3" s="122" t="n">
        <f>'Capacidad de repago'!E13</f>
        <v>0.049</v>
      </c>
    </row>
    <row ht="13.5" r="4" spans="2:7" thickBot="1" x14ac:dyDescent="0.25">
      <c r="B4" s="114" t="s">
        <v>24</v>
      </c>
      <c r="C4" s="123" t="n">
        <f>'Capacidad de repago'!E11</f>
        <v>2289666.0</v>
      </c>
    </row>
    <row ht="13.5" r="5" spans="2:7" thickBot="1" x14ac:dyDescent="0.25">
      <c r="F5" s="72"/>
      <c r="G5" s="73"/>
    </row>
    <row ht="13.5" r="6" spans="2:7" thickBot="1" x14ac:dyDescent="0.25">
      <c r="B6" s="115" t="s">
        <v>41</v>
      </c>
    </row>
    <row ht="13.5" r="7" spans="2:7" thickBot="1" x14ac:dyDescent="0.25">
      <c r="B7" s="116" t="s">
        <v>45</v>
      </c>
      <c r="D7" s="15"/>
      <c r="E7" s="121"/>
    </row>
    <row r="8" spans="2:7" x14ac:dyDescent="0.2">
      <c r="B8" s="116" t="s">
        <v>46</v>
      </c>
      <c r="D8" s="15"/>
    </row>
    <row r="9" spans="2:7" x14ac:dyDescent="0.2">
      <c r="B9" s="116" t="s">
        <v>69</v>
      </c>
      <c r="D9" s="15"/>
    </row>
    <row ht="13.5" r="10" spans="2:7" thickBot="1" x14ac:dyDescent="0.25">
      <c r="B10" s="117" t="s">
        <v>70</v>
      </c>
    </row>
    <row ht="13.5" r="11" spans="2:7" thickBot="1" x14ac:dyDescent="0.25">
      <c r="B11" s="74"/>
    </row>
    <row r="12" spans="2:7" x14ac:dyDescent="0.2">
      <c r="B12" s="113" t="s">
        <v>9</v>
      </c>
      <c r="C12" s="118" t="s">
        <v>10</v>
      </c>
    </row>
    <row r="13" spans="2:7" x14ac:dyDescent="0.2">
      <c r="B13" s="78" t="s">
        <v>33</v>
      </c>
      <c r="C13" s="124">
        <v>0.7</v>
      </c>
    </row>
    <row r="14" spans="2:7" x14ac:dyDescent="0.2">
      <c r="B14" s="78" t="s">
        <v>34</v>
      </c>
      <c r="C14" s="124">
        <v>0.7</v>
      </c>
    </row>
    <row r="15" spans="2:7" x14ac:dyDescent="0.2">
      <c r="B15" s="78" t="s">
        <v>35</v>
      </c>
      <c r="C15" s="124">
        <v>0.3</v>
      </c>
    </row>
    <row r="16" spans="2:7" x14ac:dyDescent="0.2">
      <c r="B16" s="78" t="s">
        <v>36</v>
      </c>
      <c r="C16" s="124">
        <v>0.5</v>
      </c>
    </row>
    <row r="17" spans="2:9" x14ac:dyDescent="0.2">
      <c r="B17" s="78" t="s">
        <v>14</v>
      </c>
      <c r="C17" s="119"/>
    </row>
    <row ht="13.5" r="18" spans="2:9" thickBot="1" x14ac:dyDescent="0.25">
      <c r="B18" s="114" t="s">
        <v>7</v>
      </c>
      <c r="C18" s="120" t="n">
        <f>IF('Capacidad de repago'!E9="Adquisición de 2da. vivienda",2,1)</f>
        <v>1.0</v>
      </c>
    </row>
    <row ht="13.5" r="19" spans="2:9" thickBot="1" x14ac:dyDescent="0.25"/>
    <row ht="13.5" r="20" spans="2:9" thickBot="1" x14ac:dyDescent="0.25">
      <c r="B20" s="148" t="s">
        <v>12</v>
      </c>
      <c r="C20" s="149"/>
      <c r="D20" s="150"/>
    </row>
    <row r="21" spans="2:9" x14ac:dyDescent="0.2">
      <c r="B21" s="75" t="s">
        <v>29</v>
      </c>
      <c r="C21" s="76">
        <v>5.1999999999999995E-4</v>
      </c>
      <c r="D21" s="77" t="n">
        <f>IF('Capacidad de repago'!E8*C21&lt;130,130,'Capacidad de repago'!E8*C21)</f>
        <v>1836.49076</v>
      </c>
    </row>
    <row r="22" spans="2:9" x14ac:dyDescent="0.2">
      <c r="B22" s="78" t="s">
        <v>30</v>
      </c>
      <c r="C22" s="79"/>
      <c r="D22" s="80" t="n">
        <f>D21*0.23</f>
        <v>422.3928748</v>
      </c>
    </row>
    <row r="23" spans="2:9" x14ac:dyDescent="0.2">
      <c r="B23" s="81" t="s">
        <v>11</v>
      </c>
      <c r="C23" s="82"/>
      <c r="D23" s="83" t="n">
        <f>SUM(D21:D22)</f>
        <v>2258.8836348</v>
      </c>
    </row>
    <row r="24" spans="2:9" x14ac:dyDescent="0.2">
      <c r="B24" s="81" t="s">
        <v>31</v>
      </c>
      <c r="C24" s="82"/>
      <c r="D24" s="83" t="n">
        <f>D23/11</f>
        <v>205.3530577090909</v>
      </c>
    </row>
    <row ht="13.5" r="25" spans="2:9" thickBot="1" x14ac:dyDescent="0.25">
      <c r="B25" s="131" t="s">
        <v>32</v>
      </c>
      <c r="C25" s="84"/>
      <c r="D25" s="85" t="n">
        <f>D23/12</f>
        <v>188.2403029</v>
      </c>
    </row>
    <row ht="13.5" r="26" spans="2:9" thickBot="1" x14ac:dyDescent="0.25"/>
    <row r="27" spans="2:9" x14ac:dyDescent="0.2">
      <c r="B27" s="86" t="s">
        <v>21</v>
      </c>
      <c r="C27" s="87" t="s">
        <v>25</v>
      </c>
      <c r="D27" s="87" t="s">
        <v>26</v>
      </c>
      <c r="E27" s="87" t="s">
        <v>27</v>
      </c>
      <c r="F27" s="87" t="s">
        <v>7</v>
      </c>
      <c r="G27" s="87" t="s">
        <v>28</v>
      </c>
      <c r="H27" s="87" t="s">
        <v>12</v>
      </c>
      <c r="I27" s="88" t="s">
        <v>11</v>
      </c>
    </row>
    <row r="28" spans="2:9" x14ac:dyDescent="0.2">
      <c r="B28" s="89" t="s">
        <v>23</v>
      </c>
      <c r="C28" s="90" t="n">
        <f>PMT($C$3/12,$C$2,$C$4)*-1</f>
        <v>17987.483700448127</v>
      </c>
      <c r="D28" s="90" t="n">
        <f>PPMT($C$3/12,1,$C$2,$C$4)*-1</f>
        <v>8638.014200448126</v>
      </c>
      <c r="E28" s="90" t="n">
        <f>IPMT($C$3/12,1,$C$2,$C$4)*-1</f>
        <v>9349.469500000001</v>
      </c>
      <c r="F28" s="90">
        <v>0</v>
      </c>
      <c r="G28" s="90">
        <v>0</v>
      </c>
      <c r="H28" s="90" t="n">
        <f>$D$24</f>
        <v>205.3530577090909</v>
      </c>
      <c r="I28" s="91" t="n">
        <f>SUM(D28:H28)</f>
        <v>18192.836758157217</v>
      </c>
    </row>
    <row ht="13.5" r="29" spans="2:9" thickBot="1" x14ac:dyDescent="0.25">
      <c r="B29" s="92" t="s">
        <v>22</v>
      </c>
      <c r="C29" s="93" t="n">
        <f>PMT($C$3/12,$C$2,$C$4)*-1</f>
        <v>17987.483700448127</v>
      </c>
      <c r="D29" s="93" t="n">
        <f>PPMT($C$3/12,1,$C$2,$C$4)*-1</f>
        <v>8638.014200448126</v>
      </c>
      <c r="E29" s="93" t="n">
        <f>IPMT($C$3/12,1,$C$2,$C$4)*-1</f>
        <v>9349.469500000001</v>
      </c>
      <c r="F29" s="93" t="n">
        <f>E29*21%</f>
        <v>1963.3885950000001</v>
      </c>
      <c r="G29" s="93">
        <v>0</v>
      </c>
      <c r="H29" s="93" t="n">
        <f>$D$24</f>
        <v>205.3530577090909</v>
      </c>
      <c r="I29" s="94" t="n">
        <f>SUM(D29:H29)</f>
        <v>20156.225353157217</v>
      </c>
    </row>
    <row ht="13.5" r="30" spans="2:9" thickBot="1" x14ac:dyDescent="0.25"/>
    <row r="31" spans="2:9" x14ac:dyDescent="0.2">
      <c r="B31" s="86" t="s">
        <v>8</v>
      </c>
      <c r="C31" s="87" t="s">
        <v>25</v>
      </c>
      <c r="D31" s="87" t="s">
        <v>26</v>
      </c>
      <c r="E31" s="87" t="s">
        <v>27</v>
      </c>
      <c r="F31" s="87" t="s">
        <v>7</v>
      </c>
      <c r="G31" s="87" t="s">
        <v>28</v>
      </c>
      <c r="H31" s="87" t="s">
        <v>12</v>
      </c>
      <c r="I31" s="88" t="s">
        <v>11</v>
      </c>
    </row>
    <row r="32" spans="2:9" x14ac:dyDescent="0.2">
      <c r="B32" s="89" t="s">
        <v>23</v>
      </c>
      <c r="C32" s="90" t="n">
        <f>PMT(($C$3*1.25)/12,$C$2,$C$4)*-1</f>
        <v>19476.47111063724</v>
      </c>
      <c r="D32" s="90" t="n">
        <f>PPMT(($C$3*1.25)/12,1,$C$2,$C$4)*-1</f>
        <v>7789.634235637242</v>
      </c>
      <c r="E32" s="90" t="n">
        <f>IPMT(($C$3*1.25)/12,1,$C$2,$C$4)*-1</f>
        <v>11686.836874999999</v>
      </c>
      <c r="F32" s="90">
        <v>0</v>
      </c>
      <c r="G32" s="90">
        <v>0</v>
      </c>
      <c r="H32" s="90" t="n">
        <f>$D$24</f>
        <v>205.3530577090909</v>
      </c>
      <c r="I32" s="91" t="n">
        <f>SUM(D32:H32)</f>
        <v>19681.82416834633</v>
      </c>
    </row>
    <row ht="13.5" r="33" spans="2:9" thickBot="1" x14ac:dyDescent="0.25">
      <c r="B33" s="92" t="s">
        <v>22</v>
      </c>
      <c r="C33" s="93" t="n">
        <f>PMT(($C$3*1.25)/12,$C$2,$C$4)*-1</f>
        <v>19476.47111063724</v>
      </c>
      <c r="D33" s="93" t="n">
        <f>PPMT(($C$3*1.25)/12,1,$C$2,$C$4)*-1</f>
        <v>7789.634235637242</v>
      </c>
      <c r="E33" s="93" t="n">
        <f>IPMT(($C$3*1.25)/12,1,$C$2,$C$4)*-1</f>
        <v>11686.836874999999</v>
      </c>
      <c r="F33" s="93" t="n">
        <f>E33*21%</f>
        <v>2454.2357437499995</v>
      </c>
      <c r="G33" s="93">
        <v>0</v>
      </c>
      <c r="H33" s="93" t="n">
        <f>$D$24</f>
        <v>205.3530577090909</v>
      </c>
      <c r="I33" s="94" t="n">
        <f>SUM(D33:H33)</f>
        <v>22136.05991209633</v>
      </c>
    </row>
    <row ht="13.5" r="34" spans="2:9" thickBot="1" x14ac:dyDescent="0.25"/>
    <row r="35" spans="2:9" x14ac:dyDescent="0.2">
      <c r="B35" s="132" t="s">
        <v>54</v>
      </c>
      <c r="C35" s="126" t="n">
        <f>+'Capacidad de repago'!E60+'Capacidad de repago'!E61+'Capacidad de repago'!E62</f>
        <v>5300.0</v>
      </c>
    </row>
    <row r="36" spans="2:9" x14ac:dyDescent="0.2">
      <c r="B36" s="133" t="s">
        <v>55</v>
      </c>
      <c r="C36" s="127" t="n">
        <f>SUM('Capacidad de repago'!E60:E61,'Capacidad de repago'!E62)</f>
        <v>5300.0</v>
      </c>
    </row>
    <row r="37" spans="2:9" x14ac:dyDescent="0.2">
      <c r="B37" s="133" t="s">
        <v>56</v>
      </c>
      <c r="C37" s="127" t="n">
        <f>MAX('Capacidad de repago'!E56,C35)</f>
        <v>5300.0</v>
      </c>
    </row>
    <row ht="13.5" r="38" spans="2:9" thickBot="1" x14ac:dyDescent="0.25">
      <c r="B38" s="134" t="s">
        <v>57</v>
      </c>
      <c r="C38" s="125" t="n">
        <f>+'Capacidad de repago'!E60+'Capacidad de repago'!E61+'Capacidad de repago'!E53+'Capacidad de repago'!E65+'Capacidad de repago'!E66+'Capacidad de repago'!E54</f>
        <v>5300.0</v>
      </c>
    </row>
    <row ht="13.5" r="39" spans="2:9" thickBot="1" x14ac:dyDescent="0.25"/>
    <row ht="13.5" r="40" spans="2:9" thickBot="1" x14ac:dyDescent="0.25">
      <c r="B40" s="135" t="s">
        <v>75</v>
      </c>
      <c r="C40" s="136" t="str">
        <f>IF('Capacidad de repago'!E12="UVAs clientes","Si",IF('Capacidad de repago'!E12="UVAs empleados","Si","No"))</f>
        <v>Si</v>
      </c>
    </row>
    <row ht="13.5" r="41" spans="2:9" thickBot="1" x14ac:dyDescent="0.25"/>
    <row r="42" spans="2:9" x14ac:dyDescent="0.2">
      <c r="B42" s="128" t="s">
        <v>49</v>
      </c>
      <c r="C42" s="126" t="str">
        <f>IF(C40="Si",IF('Capacidad de repago'!E70&lt;25%,"Aprobar","Denegar"),IF('Capacidad de repago'!E70&lt;30%,"Aprobar","Denegar"))</f>
        <v>Aprobar</v>
      </c>
    </row>
    <row r="43" spans="2:9" x14ac:dyDescent="0.2">
      <c r="B43" s="129" t="s">
        <v>50</v>
      </c>
      <c r="C43" s="127" t="str">
        <f>IF('Capacidad de repago'!E71&lt;=45%,"Aprobar","Denegar")</f>
        <v>Aprobar</v>
      </c>
    </row>
    <row ht="13.5" r="44" spans="2:9" thickBot="1" x14ac:dyDescent="0.25">
      <c r="B44" s="130" t="s">
        <v>51</v>
      </c>
      <c r="C44" s="125" t="str">
        <f>IF('Capacidad de repago'!E72&lt;=45%,"Aprobar","Denegar")</f>
        <v>Aprobar</v>
      </c>
    </row>
  </sheetData>
  <mergeCells count="1">
    <mergeCell ref="B20:D20"/>
  </mergeCells>
  <phoneticPr fontId="0" type="noConversion"/>
  <pageMargins bottom="0.98425196850393704" footer="0" header="0" left="0.74803149606299213" right="0.74803149606299213" top="0.98425196850393704"/>
  <pageSetup orientation="landscape" paperSize="9" r:id="rId1" scale="2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2</vt:i4>
      </vt:variant>
    </vt:vector>
  </HeadingPairs>
  <TitlesOfParts>
    <vt:vector baseType="lpstr" size="2">
      <vt:lpstr>Capacidad de repago</vt:lpstr>
      <vt:lpstr>Fórmulas</vt:lpstr>
    </vt:vector>
  </TitlesOfParts>
  <Company>(BBV) Banco Frances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1999-05-24T20:22:31Z</dcterms:created>
  <dc:creator>Fernandez, Daniel Roberto</dc:creator>
  <cp:lastModifiedBy>Daniel Fernandez</cp:lastModifiedBy>
  <cp:lastPrinted>2016-09-17T00:50:47Z</cp:lastPrinted>
  <dcterms:modified xsi:type="dcterms:W3CDTF">2016-09-19T17:31:06Z</dcterms:modified>
</cp:coreProperties>
</file>